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Area" localSheetId="0">'дод. 12'!#REF!</definedName>
  </definedNames>
  <calcPr fullCalcOnLoad="1"/>
</workbook>
</file>

<file path=xl/sharedStrings.xml><?xml version="1.0" encoding="utf-8"?>
<sst xmlns="http://schemas.openxmlformats.org/spreadsheetml/2006/main" count="182" uniqueCount="180">
  <si>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</si>
  <si>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</si>
  <si>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</si>
  <si>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</si>
  <si>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</si>
  <si>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</si>
  <si>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</si>
  <si>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</si>
  <si>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</si>
  <si>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</si>
  <si>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</si>
  <si>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</si>
  <si>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</si>
  <si>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</si>
  <si>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</si>
  <si>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</si>
  <si>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</si>
  <si>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</si>
  <si>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</si>
  <si>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</si>
  <si>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</si>
  <si>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</si>
  <si>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</si>
  <si>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</si>
  <si>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</si>
  <si>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</si>
  <si>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</si>
  <si>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</si>
  <si>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</si>
  <si>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</si>
  <si>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</si>
  <si>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</si>
  <si>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</si>
  <si>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</si>
  <si>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</si>
  <si>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</si>
  <si>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</si>
  <si>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</si>
  <si>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</si>
  <si>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</si>
  <si>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</si>
  <si>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</si>
  <si>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</si>
  <si>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</si>
  <si>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</si>
  <si>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</si>
  <si>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</si>
  <si>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</si>
  <si>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</si>
  <si>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</si>
  <si>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</si>
  <si>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</si>
  <si>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</si>
  <si>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</si>
  <si>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</si>
  <si>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</si>
  <si>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</si>
  <si>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</si>
  <si>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</si>
  <si>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</si>
  <si>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</si>
  <si>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</si>
  <si>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</si>
  <si>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</si>
  <si>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</si>
  <si>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</si>
  <si>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</si>
  <si>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</si>
  <si>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</si>
  <si>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</si>
  <si>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</si>
  <si>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</si>
  <si>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</si>
  <si>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</si>
  <si>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</si>
  <si>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</si>
  <si>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</si>
  <si>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</si>
  <si>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</si>
  <si>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</si>
  <si>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</si>
  <si>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</si>
  <si>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</si>
  <si>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</si>
  <si>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</si>
  <si>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</si>
  <si>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</si>
  <si>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</si>
  <si>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</si>
  <si>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</si>
  <si>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</si>
  <si>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</si>
  <si>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</si>
  <si>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</si>
  <si>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</si>
  <si>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</si>
  <si>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</si>
  <si>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</si>
  <si>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</si>
  <si>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</si>
  <si>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</si>
  <si>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</si>
  <si>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</si>
  <si>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</si>
  <si>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</si>
  <si>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</si>
  <si>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</si>
  <si>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</si>
  <si>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</si>
  <si>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</si>
  <si>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</si>
  <si>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</si>
  <si>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</si>
  <si>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</si>
  <si>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</si>
  <si>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</si>
  <si>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</si>
  <si>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</si>
  <si>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</si>
  <si>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</si>
  <si>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</si>
  <si>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</si>
  <si>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</si>
  <si>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</si>
  <si>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</si>
  <si>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</si>
  <si>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</si>
  <si>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</si>
  <si>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</si>
  <si>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</si>
  <si>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</si>
  <si>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</si>
  <si>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</si>
  <si>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</si>
  <si>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</si>
  <si>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</si>
  <si>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</si>
  <si>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</si>
  <si>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</si>
  <si>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</si>
  <si>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</si>
  <si>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</si>
  <si>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</si>
  <si>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</si>
  <si>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</si>
  <si>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</si>
  <si>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</si>
  <si>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</si>
  <si>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</si>
  <si>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</si>
  <si>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</si>
  <si>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</si>
  <si>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</si>
  <si>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</si>
  <si>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Юрія Іллєнка, 6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</si>
  <si>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</si>
  <si>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</si>
  <si>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</si>
  <si>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</si>
  <si>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</si>
  <si>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</si>
  <si>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</si>
  <si>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</si>
  <si>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</si>
  <si>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</si>
  <si>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</si>
  <si>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</si>
  <si>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</si>
  <si>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міжквартального проїзду по вулиці Одеській між будинками 8/а-8, 10/1, 12/1, 14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</si>
  <si>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</si>
  <si>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О.Панченка (тротуар, непарна сторона, від буд. 13/1 до вул. М.Старицького)</t>
  </si>
  <si>
    <t>Капітальний ремонт вул. Пахарів Хутір (тротуар непарна сторона, від вул. М Старицького до санаторію «Пролісок)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</si>
  <si>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</si>
  <si>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</si>
  <si>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вул. Сумгаїтська (від вул. Одеської до вул. 30-річчя Перемоги) в м. Черкаси (з ПКД)</t>
  </si>
  <si>
    <t>Профінансовано станом на 10.07.17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</si>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</sst>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0" fontId="36" fillId="0" borderId="10" xfId="87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7"/>
  <sheetViews>
    <sheetView tabSelected="1" view="pageBreakPreview" zoomScale="50" zoomScaleNormal="67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4" sqref="Q14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6384" width="9.33203125" style="6" customWidth="1"/>
  </cols>
  <sheetData>
    <row r="2" spans="1:7" ht="21" customHeight="1">
      <c r="A2" s="64" t="s">
        <v>21</v>
      </c>
      <c r="B2" s="64"/>
      <c r="C2" s="64"/>
      <c r="D2" s="64"/>
      <c r="E2" s="64"/>
      <c r="F2" s="64"/>
      <c r="G2" s="64"/>
    </row>
    <row r="3" spans="1:7" ht="20.25" customHeight="1">
      <c r="A3" s="65" t="s">
        <v>3</v>
      </c>
      <c r="B3" s="65"/>
      <c r="C3" s="65"/>
      <c r="D3" s="65"/>
      <c r="E3" s="65"/>
      <c r="F3" s="65"/>
      <c r="G3" s="65"/>
    </row>
    <row r="4" spans="3:7" ht="13.5" customHeight="1">
      <c r="C4" s="8"/>
      <c r="D4" s="7"/>
      <c r="E4" s="9"/>
      <c r="G4" s="10" t="s">
        <v>22</v>
      </c>
    </row>
    <row r="5" spans="1:9" ht="12" customHeight="1">
      <c r="A5" s="66" t="s">
        <v>7</v>
      </c>
      <c r="B5" s="11"/>
      <c r="C5" s="66" t="s">
        <v>23</v>
      </c>
      <c r="D5" s="59" t="s">
        <v>24</v>
      </c>
      <c r="E5" s="59" t="s">
        <v>0</v>
      </c>
      <c r="F5" s="59" t="s">
        <v>1</v>
      </c>
      <c r="G5" s="13" t="s">
        <v>2</v>
      </c>
      <c r="H5" s="59" t="s">
        <v>175</v>
      </c>
      <c r="I5" s="61" t="s">
        <v>27</v>
      </c>
    </row>
    <row r="6" spans="1:9" ht="35.25" customHeight="1">
      <c r="A6" s="67"/>
      <c r="B6" s="14" t="s">
        <v>8</v>
      </c>
      <c r="C6" s="67"/>
      <c r="D6" s="60"/>
      <c r="E6" s="60"/>
      <c r="F6" s="60"/>
      <c r="G6" s="12" t="s">
        <v>25</v>
      </c>
      <c r="H6" s="60"/>
      <c r="I6" s="62"/>
    </row>
    <row r="7" spans="1:9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</row>
    <row r="8" spans="1:9" s="15" customFormat="1" ht="19.5" customHeight="1">
      <c r="A8" s="68" t="s">
        <v>11</v>
      </c>
      <c r="B8" s="69"/>
      <c r="C8" s="69"/>
      <c r="D8" s="69"/>
      <c r="E8" s="69"/>
      <c r="F8" s="69"/>
      <c r="G8" s="69"/>
      <c r="H8" s="69"/>
      <c r="I8" s="69"/>
    </row>
    <row r="9" spans="1:9" ht="18.75">
      <c r="A9" s="16">
        <v>1</v>
      </c>
      <c r="B9" s="17"/>
      <c r="C9" s="18" t="s">
        <v>26</v>
      </c>
      <c r="D9" s="19">
        <f>D10+D26</f>
        <v>149878127</v>
      </c>
      <c r="E9" s="19">
        <f>E10+E26</f>
        <v>63519000</v>
      </c>
      <c r="F9" s="19">
        <f>F10+F26</f>
        <v>86359127</v>
      </c>
      <c r="G9" s="19">
        <f>G10+G26</f>
        <v>86359127</v>
      </c>
      <c r="H9" s="19">
        <f>H10+H26</f>
        <v>53774842.7</v>
      </c>
      <c r="I9" s="39">
        <f aca="true" t="shared" si="0" ref="I9:I25">H9/D9*100</f>
        <v>35.8790463801299</v>
      </c>
    </row>
    <row r="10" spans="1:9" ht="18.75">
      <c r="A10" s="1"/>
      <c r="B10" s="20"/>
      <c r="C10" s="21" t="s">
        <v>12</v>
      </c>
      <c r="D10" s="22">
        <f>SUM(D11:D18)</f>
        <v>63519000</v>
      </c>
      <c r="E10" s="22">
        <f>SUM(E11:E18)</f>
        <v>63519000</v>
      </c>
      <c r="F10" s="22"/>
      <c r="G10" s="22"/>
      <c r="H10" s="22">
        <f>SUM(H11:H17)+H18</f>
        <v>19023868.099999998</v>
      </c>
      <c r="I10" s="40">
        <f t="shared" si="0"/>
        <v>29.949886018356707</v>
      </c>
    </row>
    <row r="11" spans="1:9" ht="18.75">
      <c r="A11" s="1"/>
      <c r="B11" s="20"/>
      <c r="C11" s="23" t="s">
        <v>13</v>
      </c>
      <c r="D11" s="24">
        <f aca="true" t="shared" si="1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1">
        <f t="shared" si="0"/>
        <v>15.80317859871085</v>
      </c>
    </row>
    <row r="12" spans="1:9" ht="18.75" customHeight="1" hidden="1">
      <c r="A12" s="1"/>
      <c r="B12" s="20"/>
      <c r="C12" s="23" t="s">
        <v>14</v>
      </c>
      <c r="D12" s="24">
        <f t="shared" si="1"/>
        <v>0</v>
      </c>
      <c r="E12" s="24"/>
      <c r="F12" s="22"/>
      <c r="G12" s="22"/>
      <c r="H12" s="24"/>
      <c r="I12" s="41" t="e">
        <f t="shared" si="0"/>
        <v>#DIV/0!</v>
      </c>
    </row>
    <row r="13" spans="1:9" ht="18.75">
      <c r="A13" s="1"/>
      <c r="B13" s="20"/>
      <c r="C13" s="23" t="s">
        <v>15</v>
      </c>
      <c r="D13" s="24">
        <f t="shared" si="1"/>
        <v>498855</v>
      </c>
      <c r="E13" s="24">
        <v>498855</v>
      </c>
      <c r="F13" s="22"/>
      <c r="G13" s="22"/>
      <c r="H13" s="24"/>
      <c r="I13" s="41">
        <f t="shared" si="0"/>
        <v>0</v>
      </c>
    </row>
    <row r="14" spans="1:9" s="4" customFormat="1" ht="18.75">
      <c r="A14" s="1"/>
      <c r="B14" s="5"/>
      <c r="C14" s="23" t="s">
        <v>16</v>
      </c>
      <c r="D14" s="24">
        <f t="shared" si="1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68892.82+89790.91+48088.68+80280.14+84302.74+145199.65+45005.94+126453.46+63985.01+63691.77+72713.44+801408.56+191315.99+87872.27+568768.56+67144.64+268883.01</f>
        <v>2873797.59</v>
      </c>
      <c r="I14" s="42">
        <f t="shared" si="0"/>
        <v>69.62164222711917</v>
      </c>
    </row>
    <row r="15" spans="1:9" ht="43.5" customHeight="1">
      <c r="A15" s="1"/>
      <c r="B15" s="20"/>
      <c r="C15" s="23" t="s">
        <v>29</v>
      </c>
      <c r="D15" s="24">
        <f t="shared" si="1"/>
        <v>3176800</v>
      </c>
      <c r="E15" s="24">
        <f>3026800+150000</f>
        <v>3176800</v>
      </c>
      <c r="F15" s="22"/>
      <c r="G15" s="22"/>
      <c r="H15" s="24">
        <f>189928+189904+230926+179930+243303+245304</f>
        <v>1279295</v>
      </c>
      <c r="I15" s="42">
        <f t="shared" si="0"/>
        <v>40.26992571140771</v>
      </c>
    </row>
    <row r="16" spans="1:9" ht="41.25" customHeight="1">
      <c r="A16" s="1"/>
      <c r="B16" s="20"/>
      <c r="C16" s="23" t="s">
        <v>17</v>
      </c>
      <c r="D16" s="24">
        <f t="shared" si="1"/>
        <v>108100</v>
      </c>
      <c r="E16" s="24">
        <v>108100</v>
      </c>
      <c r="F16" s="22"/>
      <c r="G16" s="22"/>
      <c r="H16" s="24"/>
      <c r="I16" s="43">
        <f t="shared" si="0"/>
        <v>0</v>
      </c>
    </row>
    <row r="17" spans="1:9" ht="99.75" customHeight="1">
      <c r="A17" s="1"/>
      <c r="B17" s="20"/>
      <c r="C17" s="23" t="s">
        <v>4</v>
      </c>
      <c r="D17" s="24">
        <f>E17</f>
        <v>22254378</v>
      </c>
      <c r="E17" s="24">
        <f>24352378-150000-1728000-220000</f>
        <v>22254378</v>
      </c>
      <c r="F17" s="22"/>
      <c r="G17" s="22"/>
      <c r="H17" s="24">
        <f>2189034.6+2579721.35+237682.01+68555.5+69152.5+61292</f>
        <v>5205437.96</v>
      </c>
      <c r="I17" s="42">
        <f t="shared" si="0"/>
        <v>23.390624352655465</v>
      </c>
    </row>
    <row r="18" spans="1:9" ht="37.5">
      <c r="A18" s="1"/>
      <c r="B18" s="20"/>
      <c r="C18" s="23" t="s">
        <v>5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6615809.079999999</v>
      </c>
      <c r="I18" s="42">
        <f t="shared" si="0"/>
        <v>47.06683940182979</v>
      </c>
    </row>
    <row r="19" spans="1:9" ht="18.75">
      <c r="A19" s="1"/>
      <c r="B19" s="20"/>
      <c r="C19" s="25" t="s">
        <v>18</v>
      </c>
      <c r="D19" s="26">
        <f aca="true" t="shared" si="2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</f>
        <v>3020225.85</v>
      </c>
      <c r="I19" s="42">
        <f t="shared" si="0"/>
        <v>90.95597367412972</v>
      </c>
    </row>
    <row r="20" spans="1:9" ht="18.75">
      <c r="A20" s="1"/>
      <c r="B20" s="20"/>
      <c r="C20" s="25" t="s">
        <v>19</v>
      </c>
      <c r="D20" s="26">
        <f t="shared" si="2"/>
        <v>6959040</v>
      </c>
      <c r="E20" s="26">
        <v>6959040</v>
      </c>
      <c r="F20" s="26"/>
      <c r="G20" s="27"/>
      <c r="H20" s="24">
        <f>40963.21+1270402.8+87336.35</f>
        <v>1398702.36</v>
      </c>
      <c r="I20" s="42">
        <f t="shared" si="0"/>
        <v>20.099070561456752</v>
      </c>
    </row>
    <row r="21" spans="1:9" ht="18.75">
      <c r="A21" s="1"/>
      <c r="B21" s="20"/>
      <c r="C21" s="25" t="s">
        <v>20</v>
      </c>
      <c r="D21" s="26">
        <f t="shared" si="2"/>
        <v>648920</v>
      </c>
      <c r="E21" s="26">
        <v>648920</v>
      </c>
      <c r="F21" s="26"/>
      <c r="G21" s="27"/>
      <c r="H21" s="38">
        <f>30470.72</f>
        <v>30470.72</v>
      </c>
      <c r="I21" s="43">
        <f t="shared" si="0"/>
        <v>4.695605005239475</v>
      </c>
    </row>
    <row r="22" spans="1:9" ht="37.5">
      <c r="A22" s="1"/>
      <c r="B22" s="20"/>
      <c r="C22" s="25" t="s">
        <v>9</v>
      </c>
      <c r="D22" s="26">
        <f t="shared" si="2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</f>
        <v>742039.55</v>
      </c>
      <c r="I22" s="42">
        <f t="shared" si="0"/>
        <v>66.70318216549059</v>
      </c>
    </row>
    <row r="23" spans="1:9" ht="18.75">
      <c r="A23" s="1"/>
      <c r="B23" s="20"/>
      <c r="C23" s="25" t="s">
        <v>10</v>
      </c>
      <c r="D23" s="26">
        <f t="shared" si="2"/>
        <v>325445</v>
      </c>
      <c r="E23" s="26">
        <v>325445</v>
      </c>
      <c r="F23" s="26"/>
      <c r="G23" s="27"/>
      <c r="H23" s="24">
        <f>153000</f>
        <v>153000</v>
      </c>
      <c r="I23" s="42">
        <f t="shared" si="0"/>
        <v>47.0125520441242</v>
      </c>
    </row>
    <row r="24" spans="1:9" ht="18.75" customHeight="1">
      <c r="A24" s="1"/>
      <c r="B24" s="20"/>
      <c r="C24" s="25" t="s">
        <v>65</v>
      </c>
      <c r="D24" s="26">
        <f t="shared" si="2"/>
        <v>136095</v>
      </c>
      <c r="E24" s="26">
        <v>136095</v>
      </c>
      <c r="F24" s="26"/>
      <c r="G24" s="27"/>
      <c r="H24" s="24">
        <f>133296+2799</f>
        <v>136095</v>
      </c>
      <c r="I24" s="42">
        <f t="shared" si="0"/>
        <v>100</v>
      </c>
    </row>
    <row r="25" spans="1:9" ht="58.5" customHeight="1">
      <c r="A25" s="1"/>
      <c r="B25" s="20"/>
      <c r="C25" s="25" t="s">
        <v>28</v>
      </c>
      <c r="D25" s="26">
        <f t="shared" si="2"/>
        <v>1553714</v>
      </c>
      <c r="E25" s="26">
        <f>333160+3720554-2500000</f>
        <v>1553714</v>
      </c>
      <c r="F25" s="26"/>
      <c r="G25" s="37"/>
      <c r="H25" s="24">
        <f>98110+11845+14000+44592+188766.52+35049.91+36430+31810+164450.52+227765.52+17640+5257+42090+20928.7+65380+77230+45529.23+8401.2</f>
        <v>1135275.5999999999</v>
      </c>
      <c r="I25" s="42">
        <f t="shared" si="0"/>
        <v>73.06850552933165</v>
      </c>
    </row>
    <row r="26" spans="1:9" ht="26.25" customHeight="1">
      <c r="A26" s="1"/>
      <c r="B26" s="20"/>
      <c r="C26" s="21" t="s">
        <v>30</v>
      </c>
      <c r="D26" s="22">
        <f>E26+F26</f>
        <v>86359127</v>
      </c>
      <c r="E26" s="22"/>
      <c r="F26" s="22">
        <f>SUM(F27:F139)</f>
        <v>86359127</v>
      </c>
      <c r="G26" s="22">
        <f>SUM(G27:G139)</f>
        <v>86359127</v>
      </c>
      <c r="H26" s="22">
        <f>SUM(H27:H139)</f>
        <v>34750974.6</v>
      </c>
      <c r="I26" s="22">
        <f>H26/D26*100</f>
        <v>40.24007167186857</v>
      </c>
    </row>
    <row r="27" spans="1:9" ht="26.25" customHeight="1">
      <c r="A27" s="1"/>
      <c r="B27" s="20"/>
      <c r="C27" s="55" t="s">
        <v>66</v>
      </c>
      <c r="D27" s="56">
        <f>G27</f>
        <v>767000</v>
      </c>
      <c r="E27" s="57"/>
      <c r="F27" s="56">
        <f aca="true" t="shared" si="3" ref="F27:F91">G27</f>
        <v>767000</v>
      </c>
      <c r="G27" s="52">
        <v>767000</v>
      </c>
      <c r="H27" s="22"/>
      <c r="I27" s="43">
        <f>H27/D27*100</f>
        <v>0</v>
      </c>
    </row>
    <row r="28" spans="1:9" ht="26.25" customHeight="1">
      <c r="A28" s="1"/>
      <c r="B28" s="20"/>
      <c r="C28" s="55" t="s">
        <v>67</v>
      </c>
      <c r="D28" s="56">
        <f aca="true" t="shared" si="4" ref="D28:D91">G28</f>
        <v>80000</v>
      </c>
      <c r="E28" s="57"/>
      <c r="F28" s="56">
        <f t="shared" si="3"/>
        <v>80000</v>
      </c>
      <c r="G28" s="52">
        <v>80000</v>
      </c>
      <c r="H28" s="22"/>
      <c r="I28" s="43">
        <f aca="true" t="shared" si="5" ref="I28:I91">H28/D28*100</f>
        <v>0</v>
      </c>
    </row>
    <row r="29" spans="1:9" ht="26.25" customHeight="1">
      <c r="A29" s="1"/>
      <c r="B29" s="20"/>
      <c r="C29" s="55" t="s">
        <v>68</v>
      </c>
      <c r="D29" s="56">
        <f t="shared" si="4"/>
        <v>140000</v>
      </c>
      <c r="E29" s="57"/>
      <c r="F29" s="56">
        <f t="shared" si="3"/>
        <v>140000</v>
      </c>
      <c r="G29" s="52">
        <v>140000</v>
      </c>
      <c r="H29" s="22"/>
      <c r="I29" s="43">
        <f t="shared" si="5"/>
        <v>0</v>
      </c>
    </row>
    <row r="30" spans="1:9" ht="26.25" customHeight="1">
      <c r="A30" s="1"/>
      <c r="B30" s="20"/>
      <c r="C30" s="55" t="s">
        <v>69</v>
      </c>
      <c r="D30" s="56">
        <f t="shared" si="4"/>
        <v>153400</v>
      </c>
      <c r="E30" s="57"/>
      <c r="F30" s="56">
        <f t="shared" si="3"/>
        <v>153400</v>
      </c>
      <c r="G30" s="52">
        <v>153400</v>
      </c>
      <c r="H30" s="22"/>
      <c r="I30" s="43">
        <f t="shared" si="5"/>
        <v>0</v>
      </c>
    </row>
    <row r="31" spans="1:9" ht="26.25" customHeight="1">
      <c r="A31" s="1"/>
      <c r="B31" s="20"/>
      <c r="C31" s="55" t="s">
        <v>70</v>
      </c>
      <c r="D31" s="56">
        <f t="shared" si="4"/>
        <v>153400</v>
      </c>
      <c r="E31" s="57"/>
      <c r="F31" s="56">
        <f t="shared" si="3"/>
        <v>153400</v>
      </c>
      <c r="G31" s="52">
        <v>153400</v>
      </c>
      <c r="H31" s="22"/>
      <c r="I31" s="43">
        <f t="shared" si="5"/>
        <v>0</v>
      </c>
    </row>
    <row r="32" spans="1:9" ht="26.25" customHeight="1">
      <c r="A32" s="1"/>
      <c r="B32" s="20"/>
      <c r="C32" s="55" t="s">
        <v>157</v>
      </c>
      <c r="D32" s="56">
        <f t="shared" si="4"/>
        <v>200000</v>
      </c>
      <c r="E32" s="57"/>
      <c r="F32" s="56">
        <f t="shared" si="3"/>
        <v>200000</v>
      </c>
      <c r="G32" s="52">
        <v>200000</v>
      </c>
      <c r="H32" s="22"/>
      <c r="I32" s="43">
        <f t="shared" si="5"/>
        <v>0</v>
      </c>
    </row>
    <row r="33" spans="1:9" ht="26.25" customHeight="1">
      <c r="A33" s="1"/>
      <c r="B33" s="20"/>
      <c r="C33" s="55" t="s">
        <v>158</v>
      </c>
      <c r="D33" s="56">
        <f t="shared" si="4"/>
        <v>200000</v>
      </c>
      <c r="E33" s="57"/>
      <c r="F33" s="56">
        <f t="shared" si="3"/>
        <v>200000</v>
      </c>
      <c r="G33" s="52">
        <v>200000</v>
      </c>
      <c r="H33" s="22"/>
      <c r="I33" s="43">
        <f t="shared" si="5"/>
        <v>0</v>
      </c>
    </row>
    <row r="34" spans="1:9" ht="26.25" customHeight="1">
      <c r="A34" s="1"/>
      <c r="B34" s="20"/>
      <c r="C34" s="55" t="s">
        <v>71</v>
      </c>
      <c r="D34" s="56">
        <f t="shared" si="4"/>
        <v>100000</v>
      </c>
      <c r="E34" s="57"/>
      <c r="F34" s="56">
        <f t="shared" si="3"/>
        <v>100000</v>
      </c>
      <c r="G34" s="52">
        <v>100000</v>
      </c>
      <c r="H34" s="22"/>
      <c r="I34" s="43">
        <f t="shared" si="5"/>
        <v>0</v>
      </c>
    </row>
    <row r="35" spans="1:9" ht="26.25" customHeight="1">
      <c r="A35" s="1"/>
      <c r="B35" s="20"/>
      <c r="C35" s="55" t="s">
        <v>72</v>
      </c>
      <c r="D35" s="56">
        <f t="shared" si="4"/>
        <v>100000</v>
      </c>
      <c r="E35" s="57"/>
      <c r="F35" s="56">
        <f t="shared" si="3"/>
        <v>100000</v>
      </c>
      <c r="G35" s="52">
        <v>100000</v>
      </c>
      <c r="H35" s="22"/>
      <c r="I35" s="43">
        <f t="shared" si="5"/>
        <v>0</v>
      </c>
    </row>
    <row r="36" spans="1:9" ht="26.25" customHeight="1">
      <c r="A36" s="1"/>
      <c r="B36" s="20"/>
      <c r="C36" s="55" t="s">
        <v>73</v>
      </c>
      <c r="D36" s="56">
        <f t="shared" si="4"/>
        <v>225700</v>
      </c>
      <c r="E36" s="57"/>
      <c r="F36" s="56">
        <f t="shared" si="3"/>
        <v>225700</v>
      </c>
      <c r="G36" s="52">
        <v>225700</v>
      </c>
      <c r="H36" s="22"/>
      <c r="I36" s="43">
        <f t="shared" si="5"/>
        <v>0</v>
      </c>
    </row>
    <row r="37" spans="1:9" ht="37.5" customHeight="1">
      <c r="A37" s="1"/>
      <c r="B37" s="20"/>
      <c r="C37" s="55" t="s">
        <v>74</v>
      </c>
      <c r="D37" s="56">
        <f t="shared" si="4"/>
        <v>600000</v>
      </c>
      <c r="E37" s="57"/>
      <c r="F37" s="56">
        <f t="shared" si="3"/>
        <v>600000</v>
      </c>
      <c r="G37" s="52">
        <v>600000</v>
      </c>
      <c r="H37" s="22"/>
      <c r="I37" s="43">
        <f t="shared" si="5"/>
        <v>0</v>
      </c>
    </row>
    <row r="38" spans="1:9" ht="26.25" customHeight="1">
      <c r="A38" s="1"/>
      <c r="B38" s="20"/>
      <c r="C38" s="55" t="s">
        <v>75</v>
      </c>
      <c r="D38" s="56">
        <f t="shared" si="4"/>
        <v>100000</v>
      </c>
      <c r="E38" s="57"/>
      <c r="F38" s="56">
        <f t="shared" si="3"/>
        <v>100000</v>
      </c>
      <c r="G38" s="52">
        <v>100000</v>
      </c>
      <c r="H38" s="22"/>
      <c r="I38" s="43">
        <f t="shared" si="5"/>
        <v>0</v>
      </c>
    </row>
    <row r="39" spans="1:9" ht="26.25" customHeight="1">
      <c r="A39" s="1"/>
      <c r="B39" s="20"/>
      <c r="C39" s="55" t="s">
        <v>166</v>
      </c>
      <c r="D39" s="56">
        <f t="shared" si="4"/>
        <v>620000</v>
      </c>
      <c r="E39" s="57"/>
      <c r="F39" s="56">
        <f t="shared" si="3"/>
        <v>620000</v>
      </c>
      <c r="G39" s="52">
        <v>620000</v>
      </c>
      <c r="H39" s="22"/>
      <c r="I39" s="43">
        <f t="shared" si="5"/>
        <v>0</v>
      </c>
    </row>
    <row r="40" spans="1:9" ht="26.25" customHeight="1">
      <c r="A40" s="1"/>
      <c r="B40" s="20"/>
      <c r="C40" s="55" t="s">
        <v>76</v>
      </c>
      <c r="D40" s="56">
        <f t="shared" si="4"/>
        <v>80000</v>
      </c>
      <c r="E40" s="57"/>
      <c r="F40" s="56">
        <f t="shared" si="3"/>
        <v>80000</v>
      </c>
      <c r="G40" s="52">
        <v>80000</v>
      </c>
      <c r="H40" s="22"/>
      <c r="I40" s="43">
        <f t="shared" si="5"/>
        <v>0</v>
      </c>
    </row>
    <row r="41" spans="1:9" ht="26.25" customHeight="1">
      <c r="A41" s="1"/>
      <c r="B41" s="20"/>
      <c r="C41" s="55" t="s">
        <v>77</v>
      </c>
      <c r="D41" s="56">
        <f t="shared" si="4"/>
        <v>200000</v>
      </c>
      <c r="E41" s="57"/>
      <c r="F41" s="56">
        <f t="shared" si="3"/>
        <v>200000</v>
      </c>
      <c r="G41" s="52">
        <v>200000</v>
      </c>
      <c r="H41" s="22"/>
      <c r="I41" s="43">
        <f t="shared" si="5"/>
        <v>0</v>
      </c>
    </row>
    <row r="42" spans="1:9" ht="26.25" customHeight="1">
      <c r="A42" s="1"/>
      <c r="B42" s="20"/>
      <c r="C42" s="55" t="s">
        <v>78</v>
      </c>
      <c r="D42" s="56">
        <f t="shared" si="4"/>
        <v>100000</v>
      </c>
      <c r="E42" s="57"/>
      <c r="F42" s="56">
        <f t="shared" si="3"/>
        <v>100000</v>
      </c>
      <c r="G42" s="52">
        <v>100000</v>
      </c>
      <c r="H42" s="22"/>
      <c r="I42" s="43">
        <f t="shared" si="5"/>
        <v>0</v>
      </c>
    </row>
    <row r="43" spans="1:9" ht="26.25" customHeight="1">
      <c r="A43" s="1"/>
      <c r="B43" s="20"/>
      <c r="C43" s="55" t="s">
        <v>168</v>
      </c>
      <c r="D43" s="56">
        <f>G43</f>
        <v>225600</v>
      </c>
      <c r="E43" s="57"/>
      <c r="F43" s="56">
        <f>G43</f>
        <v>225600</v>
      </c>
      <c r="G43" s="52">
        <v>225600</v>
      </c>
      <c r="H43" s="22"/>
      <c r="I43" s="43">
        <f>H43/D43*100</f>
        <v>0</v>
      </c>
    </row>
    <row r="44" spans="1:9" ht="26.25" customHeight="1">
      <c r="A44" s="1"/>
      <c r="B44" s="20"/>
      <c r="C44" s="55" t="s">
        <v>150</v>
      </c>
      <c r="D44" s="56">
        <f>G44</f>
        <v>117000</v>
      </c>
      <c r="E44" s="57"/>
      <c r="F44" s="56">
        <f>G44</f>
        <v>117000</v>
      </c>
      <c r="G44" s="52">
        <v>117000</v>
      </c>
      <c r="H44" s="22"/>
      <c r="I44" s="43">
        <f>H44/D44*100</f>
        <v>0</v>
      </c>
    </row>
    <row r="45" spans="1:9" ht="38.25" customHeight="1">
      <c r="A45" s="1"/>
      <c r="B45" s="20"/>
      <c r="C45" s="55" t="s">
        <v>159</v>
      </c>
      <c r="D45" s="56">
        <f>G45</f>
        <v>50000</v>
      </c>
      <c r="E45" s="57"/>
      <c r="F45" s="56">
        <f>G45</f>
        <v>50000</v>
      </c>
      <c r="G45" s="52">
        <f>50000</f>
        <v>50000</v>
      </c>
      <c r="H45" s="22"/>
      <c r="I45" s="43"/>
    </row>
    <row r="46" spans="1:9" ht="26.25" customHeight="1">
      <c r="A46" s="1"/>
      <c r="B46" s="20"/>
      <c r="C46" s="55" t="s">
        <v>79</v>
      </c>
      <c r="D46" s="56">
        <f t="shared" si="4"/>
        <v>153400</v>
      </c>
      <c r="E46" s="57"/>
      <c r="F46" s="56">
        <f t="shared" si="3"/>
        <v>153400</v>
      </c>
      <c r="G46" s="52">
        <v>153400</v>
      </c>
      <c r="H46" s="22"/>
      <c r="I46" s="43">
        <f t="shared" si="5"/>
        <v>0</v>
      </c>
    </row>
    <row r="47" spans="1:9" ht="26.25" customHeight="1">
      <c r="A47" s="1"/>
      <c r="B47" s="20"/>
      <c r="C47" s="55" t="s">
        <v>80</v>
      </c>
      <c r="D47" s="56">
        <f t="shared" si="4"/>
        <v>153400</v>
      </c>
      <c r="E47" s="57"/>
      <c r="F47" s="56">
        <f t="shared" si="3"/>
        <v>153400</v>
      </c>
      <c r="G47" s="52">
        <v>153400</v>
      </c>
      <c r="H47" s="22"/>
      <c r="I47" s="43">
        <f t="shared" si="5"/>
        <v>0</v>
      </c>
    </row>
    <row r="48" spans="1:9" ht="26.25" customHeight="1">
      <c r="A48" s="1"/>
      <c r="B48" s="20"/>
      <c r="C48" s="55" t="s">
        <v>81</v>
      </c>
      <c r="D48" s="56">
        <f t="shared" si="4"/>
        <v>153400</v>
      </c>
      <c r="E48" s="57"/>
      <c r="F48" s="56">
        <f t="shared" si="3"/>
        <v>153400</v>
      </c>
      <c r="G48" s="52">
        <v>153400</v>
      </c>
      <c r="H48" s="22"/>
      <c r="I48" s="43">
        <f t="shared" si="5"/>
        <v>0</v>
      </c>
    </row>
    <row r="49" spans="1:9" ht="43.5" customHeight="1">
      <c r="A49" s="1"/>
      <c r="B49" s="20"/>
      <c r="C49" s="55" t="s">
        <v>82</v>
      </c>
      <c r="D49" s="56">
        <f t="shared" si="4"/>
        <v>560000</v>
      </c>
      <c r="E49" s="57"/>
      <c r="F49" s="56">
        <f t="shared" si="3"/>
        <v>560000</v>
      </c>
      <c r="G49" s="52">
        <v>560000</v>
      </c>
      <c r="H49" s="22"/>
      <c r="I49" s="43">
        <f t="shared" si="5"/>
        <v>0</v>
      </c>
    </row>
    <row r="50" spans="1:9" ht="26.25" customHeight="1">
      <c r="A50" s="1"/>
      <c r="B50" s="20"/>
      <c r="C50" s="55" t="s">
        <v>83</v>
      </c>
      <c r="D50" s="56">
        <f t="shared" si="4"/>
        <v>1534000</v>
      </c>
      <c r="E50" s="57"/>
      <c r="F50" s="56">
        <f t="shared" si="3"/>
        <v>1534000</v>
      </c>
      <c r="G50" s="52">
        <v>1534000</v>
      </c>
      <c r="H50" s="22"/>
      <c r="I50" s="43">
        <f t="shared" si="5"/>
        <v>0</v>
      </c>
    </row>
    <row r="51" spans="1:9" ht="26.25" customHeight="1">
      <c r="A51" s="1"/>
      <c r="B51" s="20"/>
      <c r="C51" s="55" t="s">
        <v>84</v>
      </c>
      <c r="D51" s="56">
        <f t="shared" si="4"/>
        <v>100000</v>
      </c>
      <c r="E51" s="57"/>
      <c r="F51" s="56">
        <f t="shared" si="3"/>
        <v>100000</v>
      </c>
      <c r="G51" s="52">
        <v>100000</v>
      </c>
      <c r="H51" s="22"/>
      <c r="I51" s="43">
        <f t="shared" si="5"/>
        <v>0</v>
      </c>
    </row>
    <row r="52" spans="1:9" ht="26.25" customHeight="1">
      <c r="A52" s="1"/>
      <c r="B52" s="20"/>
      <c r="C52" s="55" t="s">
        <v>85</v>
      </c>
      <c r="D52" s="56">
        <f t="shared" si="4"/>
        <v>225700</v>
      </c>
      <c r="E52" s="57"/>
      <c r="F52" s="56">
        <f t="shared" si="3"/>
        <v>225700</v>
      </c>
      <c r="G52" s="52">
        <v>225700</v>
      </c>
      <c r="H52" s="22"/>
      <c r="I52" s="43">
        <f t="shared" si="5"/>
        <v>0</v>
      </c>
    </row>
    <row r="53" spans="1:9" ht="26.25" customHeight="1">
      <c r="A53" s="1"/>
      <c r="B53" s="20"/>
      <c r="C53" s="55" t="s">
        <v>86</v>
      </c>
      <c r="D53" s="56">
        <f t="shared" si="4"/>
        <v>50000</v>
      </c>
      <c r="E53" s="57"/>
      <c r="F53" s="56">
        <f t="shared" si="3"/>
        <v>50000</v>
      </c>
      <c r="G53" s="52">
        <f>100000-50000</f>
        <v>50000</v>
      </c>
      <c r="H53" s="22"/>
      <c r="I53" s="43">
        <f t="shared" si="5"/>
        <v>0</v>
      </c>
    </row>
    <row r="54" spans="1:9" ht="26.25" customHeight="1">
      <c r="A54" s="1"/>
      <c r="B54" s="20"/>
      <c r="C54" s="55" t="s">
        <v>87</v>
      </c>
      <c r="D54" s="56">
        <f t="shared" si="4"/>
        <v>200000</v>
      </c>
      <c r="E54" s="57"/>
      <c r="F54" s="56">
        <f t="shared" si="3"/>
        <v>200000</v>
      </c>
      <c r="G54" s="52">
        <v>200000</v>
      </c>
      <c r="H54" s="22"/>
      <c r="I54" s="43">
        <f t="shared" si="5"/>
        <v>0</v>
      </c>
    </row>
    <row r="55" spans="1:9" ht="26.25" customHeight="1">
      <c r="A55" s="1"/>
      <c r="B55" s="20"/>
      <c r="C55" s="55" t="s">
        <v>88</v>
      </c>
      <c r="D55" s="56">
        <f t="shared" si="4"/>
        <v>100000</v>
      </c>
      <c r="E55" s="57"/>
      <c r="F55" s="56">
        <f t="shared" si="3"/>
        <v>100000</v>
      </c>
      <c r="G55" s="52">
        <v>100000</v>
      </c>
      <c r="H55" s="22"/>
      <c r="I55" s="43">
        <f t="shared" si="5"/>
        <v>0</v>
      </c>
    </row>
    <row r="56" spans="1:9" ht="41.25" customHeight="1">
      <c r="A56" s="1"/>
      <c r="B56" s="20"/>
      <c r="C56" s="55" t="s">
        <v>160</v>
      </c>
      <c r="D56" s="56">
        <f t="shared" si="4"/>
        <v>350000</v>
      </c>
      <c r="E56" s="57"/>
      <c r="F56" s="56">
        <f t="shared" si="3"/>
        <v>350000</v>
      </c>
      <c r="G56" s="52">
        <v>350000</v>
      </c>
      <c r="H56" s="22"/>
      <c r="I56" s="43">
        <f t="shared" si="5"/>
        <v>0</v>
      </c>
    </row>
    <row r="57" spans="1:9" ht="26.25" customHeight="1">
      <c r="A57" s="1"/>
      <c r="B57" s="20"/>
      <c r="C57" s="55" t="s">
        <v>89</v>
      </c>
      <c r="D57" s="56">
        <f t="shared" si="4"/>
        <v>100000</v>
      </c>
      <c r="E57" s="57"/>
      <c r="F57" s="56">
        <f t="shared" si="3"/>
        <v>100000</v>
      </c>
      <c r="G57" s="52">
        <v>100000</v>
      </c>
      <c r="H57" s="22"/>
      <c r="I57" s="43">
        <f t="shared" si="5"/>
        <v>0</v>
      </c>
    </row>
    <row r="58" spans="1:9" ht="26.25" customHeight="1">
      <c r="A58" s="1"/>
      <c r="B58" s="20"/>
      <c r="C58" s="55" t="s">
        <v>90</v>
      </c>
      <c r="D58" s="56">
        <f t="shared" si="4"/>
        <v>100000</v>
      </c>
      <c r="E58" s="57"/>
      <c r="F58" s="56">
        <f t="shared" si="3"/>
        <v>100000</v>
      </c>
      <c r="G58" s="52">
        <f>100000+50000-50000</f>
        <v>100000</v>
      </c>
      <c r="H58" s="22"/>
      <c r="I58" s="43">
        <f t="shared" si="5"/>
        <v>0</v>
      </c>
    </row>
    <row r="59" spans="1:9" ht="26.25" customHeight="1">
      <c r="A59" s="1"/>
      <c r="B59" s="20"/>
      <c r="C59" s="55" t="s">
        <v>91</v>
      </c>
      <c r="D59" s="56">
        <f t="shared" si="4"/>
        <v>200000</v>
      </c>
      <c r="E59" s="57"/>
      <c r="F59" s="56">
        <f t="shared" si="3"/>
        <v>200000</v>
      </c>
      <c r="G59" s="52">
        <v>200000</v>
      </c>
      <c r="H59" s="22"/>
      <c r="I59" s="43">
        <f t="shared" si="5"/>
        <v>0</v>
      </c>
    </row>
    <row r="60" spans="1:9" ht="26.25" customHeight="1">
      <c r="A60" s="1"/>
      <c r="B60" s="20"/>
      <c r="C60" s="55" t="s">
        <v>92</v>
      </c>
      <c r="D60" s="56">
        <f t="shared" si="4"/>
        <v>100000</v>
      </c>
      <c r="E60" s="57"/>
      <c r="F60" s="56">
        <f t="shared" si="3"/>
        <v>100000</v>
      </c>
      <c r="G60" s="52">
        <v>100000</v>
      </c>
      <c r="H60" s="22"/>
      <c r="I60" s="43">
        <f t="shared" si="5"/>
        <v>0</v>
      </c>
    </row>
    <row r="61" spans="1:9" ht="26.25" customHeight="1">
      <c r="A61" s="1"/>
      <c r="B61" s="20"/>
      <c r="C61" s="55" t="s">
        <v>93</v>
      </c>
      <c r="D61" s="56">
        <f t="shared" si="4"/>
        <v>100000</v>
      </c>
      <c r="E61" s="57"/>
      <c r="F61" s="56">
        <f t="shared" si="3"/>
        <v>100000</v>
      </c>
      <c r="G61" s="52">
        <v>100000</v>
      </c>
      <c r="H61" s="22"/>
      <c r="I61" s="43">
        <f t="shared" si="5"/>
        <v>0</v>
      </c>
    </row>
    <row r="62" spans="1:9" ht="26.25" customHeight="1">
      <c r="A62" s="1"/>
      <c r="B62" s="20"/>
      <c r="C62" s="55" t="s">
        <v>154</v>
      </c>
      <c r="D62" s="56">
        <f t="shared" si="4"/>
        <v>66000</v>
      </c>
      <c r="E62" s="57"/>
      <c r="F62" s="56">
        <f>G62</f>
        <v>66000</v>
      </c>
      <c r="G62" s="52">
        <f>66000</f>
        <v>66000</v>
      </c>
      <c r="H62" s="22"/>
      <c r="I62" s="43">
        <f t="shared" si="5"/>
        <v>0</v>
      </c>
    </row>
    <row r="63" spans="1:9" ht="43.5" customHeight="1">
      <c r="A63" s="1"/>
      <c r="B63" s="20"/>
      <c r="C63" s="55" t="s">
        <v>94</v>
      </c>
      <c r="D63" s="56">
        <f t="shared" si="4"/>
        <v>100000</v>
      </c>
      <c r="E63" s="57"/>
      <c r="F63" s="56">
        <f t="shared" si="3"/>
        <v>100000</v>
      </c>
      <c r="G63" s="52">
        <v>100000</v>
      </c>
      <c r="H63" s="22"/>
      <c r="I63" s="43">
        <f t="shared" si="5"/>
        <v>0</v>
      </c>
    </row>
    <row r="64" spans="1:9" ht="101.25" customHeight="1">
      <c r="A64" s="1"/>
      <c r="B64" s="20"/>
      <c r="C64" s="55" t="s">
        <v>169</v>
      </c>
      <c r="D64" s="56">
        <f t="shared" si="4"/>
        <v>100000</v>
      </c>
      <c r="E64" s="57"/>
      <c r="F64" s="56">
        <f t="shared" si="3"/>
        <v>100000</v>
      </c>
      <c r="G64" s="52">
        <f>210000-110000</f>
        <v>100000</v>
      </c>
      <c r="H64" s="22"/>
      <c r="I64" s="43">
        <f t="shared" si="5"/>
        <v>0</v>
      </c>
    </row>
    <row r="65" spans="1:9" ht="43.5" customHeight="1">
      <c r="A65" s="1"/>
      <c r="B65" s="20"/>
      <c r="C65" s="55" t="s">
        <v>95</v>
      </c>
      <c r="D65" s="56">
        <f t="shared" si="4"/>
        <v>460000</v>
      </c>
      <c r="E65" s="57"/>
      <c r="F65" s="56">
        <f t="shared" si="3"/>
        <v>460000</v>
      </c>
      <c r="G65" s="52">
        <v>460000</v>
      </c>
      <c r="H65" s="22"/>
      <c r="I65" s="43">
        <f t="shared" si="5"/>
        <v>0</v>
      </c>
    </row>
    <row r="66" spans="1:9" ht="58.5" customHeight="1">
      <c r="A66" s="1"/>
      <c r="B66" s="20"/>
      <c r="C66" s="55" t="s">
        <v>176</v>
      </c>
      <c r="D66" s="56">
        <f t="shared" si="4"/>
        <v>150000</v>
      </c>
      <c r="E66" s="57"/>
      <c r="F66" s="56">
        <f t="shared" si="3"/>
        <v>150000</v>
      </c>
      <c r="G66" s="52">
        <v>150000</v>
      </c>
      <c r="H66" s="22"/>
      <c r="I66" s="43">
        <f t="shared" si="5"/>
        <v>0</v>
      </c>
    </row>
    <row r="67" spans="1:9" ht="59.25" customHeight="1">
      <c r="A67" s="1"/>
      <c r="B67" s="20"/>
      <c r="C67" s="55" t="s">
        <v>177</v>
      </c>
      <c r="D67" s="56">
        <f t="shared" si="4"/>
        <v>150000</v>
      </c>
      <c r="E67" s="57"/>
      <c r="F67" s="56">
        <f t="shared" si="3"/>
        <v>150000</v>
      </c>
      <c r="G67" s="52">
        <v>150000</v>
      </c>
      <c r="H67" s="22"/>
      <c r="I67" s="43">
        <f t="shared" si="5"/>
        <v>0</v>
      </c>
    </row>
    <row r="68" spans="1:9" ht="21" customHeight="1">
      <c r="A68" s="1"/>
      <c r="B68" s="20"/>
      <c r="C68" s="55" t="s">
        <v>178</v>
      </c>
      <c r="D68" s="56">
        <f t="shared" si="4"/>
        <v>40000</v>
      </c>
      <c r="E68" s="57"/>
      <c r="F68" s="56">
        <f t="shared" si="3"/>
        <v>40000</v>
      </c>
      <c r="G68" s="52">
        <v>40000</v>
      </c>
      <c r="H68" s="22"/>
      <c r="I68" s="43">
        <f t="shared" si="5"/>
        <v>0</v>
      </c>
    </row>
    <row r="69" spans="1:9" ht="26.25" customHeight="1">
      <c r="A69" s="1"/>
      <c r="B69" s="20"/>
      <c r="C69" s="55" t="s">
        <v>161</v>
      </c>
      <c r="D69" s="56">
        <f t="shared" si="4"/>
        <v>232000</v>
      </c>
      <c r="E69" s="57"/>
      <c r="F69" s="56">
        <f t="shared" si="3"/>
        <v>232000</v>
      </c>
      <c r="G69" s="52">
        <v>232000</v>
      </c>
      <c r="H69" s="22"/>
      <c r="I69" s="43"/>
    </row>
    <row r="70" spans="1:9" ht="26.25" customHeight="1">
      <c r="A70" s="1"/>
      <c r="B70" s="20"/>
      <c r="C70" s="55" t="s">
        <v>96</v>
      </c>
      <c r="D70" s="56">
        <f t="shared" si="4"/>
        <v>220000</v>
      </c>
      <c r="E70" s="57"/>
      <c r="F70" s="56">
        <f t="shared" si="3"/>
        <v>220000</v>
      </c>
      <c r="G70" s="52">
        <v>220000</v>
      </c>
      <c r="H70" s="22"/>
      <c r="I70" s="43">
        <f t="shared" si="5"/>
        <v>0</v>
      </c>
    </row>
    <row r="71" spans="1:9" ht="26.25" customHeight="1">
      <c r="A71" s="1"/>
      <c r="B71" s="20"/>
      <c r="C71" s="55" t="s">
        <v>97</v>
      </c>
      <c r="D71" s="56">
        <f t="shared" si="4"/>
        <v>127000</v>
      </c>
      <c r="E71" s="57"/>
      <c r="F71" s="56">
        <f t="shared" si="3"/>
        <v>127000</v>
      </c>
      <c r="G71" s="52">
        <v>127000</v>
      </c>
      <c r="H71" s="22"/>
      <c r="I71" s="43">
        <f t="shared" si="5"/>
        <v>0</v>
      </c>
    </row>
    <row r="72" spans="1:9" ht="43.5" customHeight="1">
      <c r="A72" s="1"/>
      <c r="B72" s="20"/>
      <c r="C72" s="55" t="s">
        <v>98</v>
      </c>
      <c r="D72" s="56">
        <f t="shared" si="4"/>
        <v>240000</v>
      </c>
      <c r="E72" s="57"/>
      <c r="F72" s="56">
        <f t="shared" si="3"/>
        <v>240000</v>
      </c>
      <c r="G72" s="52">
        <v>240000</v>
      </c>
      <c r="H72" s="22"/>
      <c r="I72" s="43">
        <f t="shared" si="5"/>
        <v>0</v>
      </c>
    </row>
    <row r="73" spans="1:9" ht="26.25" customHeight="1">
      <c r="A73" s="1"/>
      <c r="B73" s="20"/>
      <c r="C73" s="55" t="s">
        <v>162</v>
      </c>
      <c r="D73" s="56">
        <f t="shared" si="4"/>
        <v>1650000</v>
      </c>
      <c r="E73" s="57"/>
      <c r="F73" s="56">
        <f t="shared" si="3"/>
        <v>1650000</v>
      </c>
      <c r="G73" s="52">
        <v>1650000</v>
      </c>
      <c r="H73" s="52">
        <f>68813.21+980000</f>
        <v>1048813.21</v>
      </c>
      <c r="I73" s="42">
        <f t="shared" si="5"/>
        <v>63.56443696969697</v>
      </c>
    </row>
    <row r="74" spans="1:9" ht="26.25" customHeight="1">
      <c r="A74" s="1"/>
      <c r="B74" s="20"/>
      <c r="C74" s="55" t="s">
        <v>99</v>
      </c>
      <c r="D74" s="56">
        <f t="shared" si="4"/>
        <v>480000</v>
      </c>
      <c r="E74" s="57"/>
      <c r="F74" s="56">
        <f t="shared" si="3"/>
        <v>480000</v>
      </c>
      <c r="G74" s="52">
        <v>480000</v>
      </c>
      <c r="H74" s="22"/>
      <c r="I74" s="43">
        <f t="shared" si="5"/>
        <v>0</v>
      </c>
    </row>
    <row r="75" spans="1:9" ht="26.25" customHeight="1">
      <c r="A75" s="1"/>
      <c r="B75" s="20"/>
      <c r="C75" s="55" t="s">
        <v>100</v>
      </c>
      <c r="D75" s="56">
        <f t="shared" si="4"/>
        <v>116000</v>
      </c>
      <c r="E75" s="57"/>
      <c r="F75" s="56">
        <f t="shared" si="3"/>
        <v>116000</v>
      </c>
      <c r="G75" s="52">
        <v>116000</v>
      </c>
      <c r="H75" s="22"/>
      <c r="I75" s="43">
        <f t="shared" si="5"/>
        <v>0</v>
      </c>
    </row>
    <row r="76" spans="1:9" ht="26.25" customHeight="1">
      <c r="A76" s="1"/>
      <c r="B76" s="20"/>
      <c r="C76" s="55" t="s">
        <v>101</v>
      </c>
      <c r="D76" s="56">
        <f t="shared" si="4"/>
        <v>116000</v>
      </c>
      <c r="E76" s="57"/>
      <c r="F76" s="56">
        <f t="shared" si="3"/>
        <v>116000</v>
      </c>
      <c r="G76" s="52">
        <v>116000</v>
      </c>
      <c r="H76" s="22"/>
      <c r="I76" s="43">
        <f t="shared" si="5"/>
        <v>0</v>
      </c>
    </row>
    <row r="77" spans="1:9" ht="26.25" customHeight="1">
      <c r="A77" s="1"/>
      <c r="B77" s="20"/>
      <c r="C77" s="55" t="s">
        <v>102</v>
      </c>
      <c r="D77" s="56">
        <f t="shared" si="4"/>
        <v>50000</v>
      </c>
      <c r="E77" s="57"/>
      <c r="F77" s="56">
        <f t="shared" si="3"/>
        <v>50000</v>
      </c>
      <c r="G77" s="52">
        <v>50000</v>
      </c>
      <c r="H77" s="22"/>
      <c r="I77" s="43">
        <f t="shared" si="5"/>
        <v>0</v>
      </c>
    </row>
    <row r="78" spans="1:9" ht="26.25" customHeight="1">
      <c r="A78" s="1"/>
      <c r="B78" s="20"/>
      <c r="C78" s="55" t="s">
        <v>103</v>
      </c>
      <c r="D78" s="56">
        <f t="shared" si="4"/>
        <v>116000</v>
      </c>
      <c r="E78" s="57"/>
      <c r="F78" s="56">
        <f t="shared" si="3"/>
        <v>116000</v>
      </c>
      <c r="G78" s="52">
        <v>116000</v>
      </c>
      <c r="H78" s="22"/>
      <c r="I78" s="43">
        <f t="shared" si="5"/>
        <v>0</v>
      </c>
    </row>
    <row r="79" spans="1:9" ht="26.25" customHeight="1">
      <c r="A79" s="1"/>
      <c r="B79" s="20"/>
      <c r="C79" s="55" t="s">
        <v>104</v>
      </c>
      <c r="D79" s="56">
        <f t="shared" si="4"/>
        <v>263000</v>
      </c>
      <c r="E79" s="57"/>
      <c r="F79" s="56">
        <f t="shared" si="3"/>
        <v>263000</v>
      </c>
      <c r="G79" s="52">
        <v>263000</v>
      </c>
      <c r="H79" s="22"/>
      <c r="I79" s="43">
        <f t="shared" si="5"/>
        <v>0</v>
      </c>
    </row>
    <row r="80" spans="1:9" ht="26.25" customHeight="1">
      <c r="A80" s="1"/>
      <c r="B80" s="20"/>
      <c r="C80" s="55" t="s">
        <v>105</v>
      </c>
      <c r="D80" s="56">
        <f t="shared" si="4"/>
        <v>118000</v>
      </c>
      <c r="E80" s="57"/>
      <c r="F80" s="56">
        <f t="shared" si="3"/>
        <v>118000</v>
      </c>
      <c r="G80" s="52">
        <v>118000</v>
      </c>
      <c r="H80" s="22"/>
      <c r="I80" s="43">
        <f t="shared" si="5"/>
        <v>0</v>
      </c>
    </row>
    <row r="81" spans="1:9" ht="26.25" customHeight="1">
      <c r="A81" s="1"/>
      <c r="B81" s="20"/>
      <c r="C81" s="55" t="s">
        <v>106</v>
      </c>
      <c r="D81" s="56">
        <f t="shared" si="4"/>
        <v>232000</v>
      </c>
      <c r="E81" s="57"/>
      <c r="F81" s="56">
        <f t="shared" si="3"/>
        <v>232000</v>
      </c>
      <c r="G81" s="52">
        <v>232000</v>
      </c>
      <c r="H81" s="22"/>
      <c r="I81" s="43">
        <f t="shared" si="5"/>
        <v>0</v>
      </c>
    </row>
    <row r="82" spans="1:9" ht="26.25" customHeight="1">
      <c r="A82" s="1"/>
      <c r="B82" s="20"/>
      <c r="C82" s="55" t="s">
        <v>107</v>
      </c>
      <c r="D82" s="56">
        <f t="shared" si="4"/>
        <v>150000</v>
      </c>
      <c r="E82" s="57"/>
      <c r="F82" s="56">
        <f t="shared" si="3"/>
        <v>150000</v>
      </c>
      <c r="G82" s="52">
        <v>150000</v>
      </c>
      <c r="H82" s="22"/>
      <c r="I82" s="43">
        <f t="shared" si="5"/>
        <v>0</v>
      </c>
    </row>
    <row r="83" spans="1:9" ht="26.25" customHeight="1">
      <c r="A83" s="1"/>
      <c r="B83" s="20"/>
      <c r="C83" s="55" t="s">
        <v>108</v>
      </c>
      <c r="D83" s="56">
        <f t="shared" si="4"/>
        <v>350000</v>
      </c>
      <c r="E83" s="57"/>
      <c r="F83" s="56">
        <f t="shared" si="3"/>
        <v>350000</v>
      </c>
      <c r="G83" s="52">
        <v>350000</v>
      </c>
      <c r="H83" s="22"/>
      <c r="I83" s="43">
        <f t="shared" si="5"/>
        <v>0</v>
      </c>
    </row>
    <row r="84" spans="1:9" ht="26.25" customHeight="1">
      <c r="A84" s="1"/>
      <c r="B84" s="20"/>
      <c r="C84" s="55" t="s">
        <v>109</v>
      </c>
      <c r="D84" s="56">
        <f t="shared" si="4"/>
        <v>130000</v>
      </c>
      <c r="E84" s="57"/>
      <c r="F84" s="56">
        <f t="shared" si="3"/>
        <v>130000</v>
      </c>
      <c r="G84" s="52">
        <v>130000</v>
      </c>
      <c r="H84" s="22"/>
      <c r="I84" s="43">
        <f t="shared" si="5"/>
        <v>0</v>
      </c>
    </row>
    <row r="85" spans="1:9" ht="26.25" customHeight="1">
      <c r="A85" s="1"/>
      <c r="B85" s="20"/>
      <c r="C85" s="55" t="s">
        <v>110</v>
      </c>
      <c r="D85" s="56">
        <f t="shared" si="4"/>
        <v>133000</v>
      </c>
      <c r="E85" s="57"/>
      <c r="F85" s="56">
        <f t="shared" si="3"/>
        <v>133000</v>
      </c>
      <c r="G85" s="52">
        <v>133000</v>
      </c>
      <c r="H85" s="22"/>
      <c r="I85" s="43">
        <f t="shared" si="5"/>
        <v>0</v>
      </c>
    </row>
    <row r="86" spans="1:9" ht="26.25" customHeight="1">
      <c r="A86" s="1"/>
      <c r="B86" s="20"/>
      <c r="C86" s="55" t="s">
        <v>111</v>
      </c>
      <c r="D86" s="56">
        <f t="shared" si="4"/>
        <v>133000</v>
      </c>
      <c r="E86" s="57"/>
      <c r="F86" s="56">
        <f t="shared" si="3"/>
        <v>133000</v>
      </c>
      <c r="G86" s="52">
        <v>133000</v>
      </c>
      <c r="H86" s="22"/>
      <c r="I86" s="43">
        <f t="shared" si="5"/>
        <v>0</v>
      </c>
    </row>
    <row r="87" spans="1:9" ht="26.25" customHeight="1">
      <c r="A87" s="1"/>
      <c r="B87" s="20"/>
      <c r="C87" s="55" t="s">
        <v>112</v>
      </c>
      <c r="D87" s="56">
        <f t="shared" si="4"/>
        <v>116000</v>
      </c>
      <c r="E87" s="57"/>
      <c r="F87" s="56">
        <f t="shared" si="3"/>
        <v>116000</v>
      </c>
      <c r="G87" s="52">
        <v>116000</v>
      </c>
      <c r="H87" s="22"/>
      <c r="I87" s="43">
        <f t="shared" si="5"/>
        <v>0</v>
      </c>
    </row>
    <row r="88" spans="1:9" ht="25.5" customHeight="1">
      <c r="A88" s="1"/>
      <c r="B88" s="20"/>
      <c r="C88" s="55" t="s">
        <v>163</v>
      </c>
      <c r="D88" s="56">
        <f>G88</f>
        <v>394000</v>
      </c>
      <c r="E88" s="57"/>
      <c r="F88" s="56">
        <f>G88</f>
        <v>394000</v>
      </c>
      <c r="G88" s="52">
        <v>394000</v>
      </c>
      <c r="H88" s="24">
        <f>35460.63</f>
        <v>35460.63</v>
      </c>
      <c r="I88" s="42">
        <f>H88/D88*100</f>
        <v>9.000159898477158</v>
      </c>
    </row>
    <row r="89" spans="1:9" ht="25.5" customHeight="1">
      <c r="A89" s="1"/>
      <c r="B89" s="20"/>
      <c r="C89" s="55" t="s">
        <v>170</v>
      </c>
      <c r="D89" s="56">
        <f>G89</f>
        <v>50000</v>
      </c>
      <c r="E89" s="57"/>
      <c r="F89" s="56">
        <f>G89</f>
        <v>50000</v>
      </c>
      <c r="G89" s="52">
        <f>50000</f>
        <v>50000</v>
      </c>
      <c r="H89" s="24"/>
      <c r="I89" s="42"/>
    </row>
    <row r="90" spans="1:9" ht="26.25" customHeight="1">
      <c r="A90" s="1"/>
      <c r="B90" s="20"/>
      <c r="C90" s="55" t="s">
        <v>113</v>
      </c>
      <c r="D90" s="56">
        <f t="shared" si="4"/>
        <v>180000</v>
      </c>
      <c r="E90" s="57"/>
      <c r="F90" s="56">
        <f t="shared" si="3"/>
        <v>180000</v>
      </c>
      <c r="G90" s="52">
        <v>180000</v>
      </c>
      <c r="H90" s="22"/>
      <c r="I90" s="43">
        <f t="shared" si="5"/>
        <v>0</v>
      </c>
    </row>
    <row r="91" spans="1:9" ht="26.25" customHeight="1">
      <c r="A91" s="1"/>
      <c r="B91" s="20"/>
      <c r="C91" s="55" t="s">
        <v>114</v>
      </c>
      <c r="D91" s="56">
        <f t="shared" si="4"/>
        <v>106000</v>
      </c>
      <c r="E91" s="57"/>
      <c r="F91" s="56">
        <f t="shared" si="3"/>
        <v>106000</v>
      </c>
      <c r="G91" s="52">
        <v>106000</v>
      </c>
      <c r="H91" s="22"/>
      <c r="I91" s="43">
        <f t="shared" si="5"/>
        <v>0</v>
      </c>
    </row>
    <row r="92" spans="1:9" ht="26.25" customHeight="1">
      <c r="A92" s="1"/>
      <c r="B92" s="20"/>
      <c r="C92" s="55" t="s">
        <v>171</v>
      </c>
      <c r="D92" s="56">
        <f>G92</f>
        <v>700000</v>
      </c>
      <c r="E92" s="57"/>
      <c r="F92" s="56">
        <f>G92</f>
        <v>700000</v>
      </c>
      <c r="G92" s="52">
        <f>750000-50000</f>
        <v>700000</v>
      </c>
      <c r="H92" s="24"/>
      <c r="I92" s="43">
        <f>H92/D92*100</f>
        <v>0</v>
      </c>
    </row>
    <row r="93" spans="1:9" ht="26.25" customHeight="1">
      <c r="A93" s="1"/>
      <c r="B93" s="20"/>
      <c r="C93" s="55" t="s">
        <v>115</v>
      </c>
      <c r="D93" s="56">
        <f>G93</f>
        <v>232000</v>
      </c>
      <c r="E93" s="57"/>
      <c r="F93" s="56">
        <f>G93</f>
        <v>232000</v>
      </c>
      <c r="G93" s="52">
        <v>232000</v>
      </c>
      <c r="H93" s="22"/>
      <c r="I93" s="43">
        <f aca="true" t="shared" si="6" ref="I93:I139">H93/D93*100</f>
        <v>0</v>
      </c>
    </row>
    <row r="94" spans="1:9" ht="26.25" customHeight="1">
      <c r="A94" s="1"/>
      <c r="B94" s="20"/>
      <c r="C94" s="55" t="s">
        <v>116</v>
      </c>
      <c r="D94" s="56">
        <f>G94</f>
        <v>603000</v>
      </c>
      <c r="E94" s="57"/>
      <c r="F94" s="56">
        <f>G94</f>
        <v>603000</v>
      </c>
      <c r="G94" s="52">
        <v>603000</v>
      </c>
      <c r="H94" s="22"/>
      <c r="I94" s="43">
        <f t="shared" si="6"/>
        <v>0</v>
      </c>
    </row>
    <row r="95" spans="1:9" ht="26.25" customHeight="1">
      <c r="A95" s="1"/>
      <c r="B95" s="20"/>
      <c r="C95" s="55" t="s">
        <v>117</v>
      </c>
      <c r="D95" s="56">
        <f>G95</f>
        <v>311000</v>
      </c>
      <c r="E95" s="57"/>
      <c r="F95" s="56">
        <f>G95</f>
        <v>311000</v>
      </c>
      <c r="G95" s="52">
        <f>118000+193000</f>
        <v>311000</v>
      </c>
      <c r="H95" s="22"/>
      <c r="I95" s="43">
        <f t="shared" si="6"/>
        <v>0</v>
      </c>
    </row>
    <row r="96" spans="1:9" ht="45" customHeight="1">
      <c r="A96" s="1"/>
      <c r="B96" s="20"/>
      <c r="C96" s="58" t="s">
        <v>34</v>
      </c>
      <c r="D96" s="24">
        <f>E96+F96</f>
        <v>450000</v>
      </c>
      <c r="E96" s="26"/>
      <c r="F96" s="24">
        <v>450000</v>
      </c>
      <c r="G96" s="45">
        <f>F96</f>
        <v>450000</v>
      </c>
      <c r="H96" s="24"/>
      <c r="I96" s="43">
        <f t="shared" si="6"/>
        <v>0</v>
      </c>
    </row>
    <row r="97" spans="1:9" ht="47.25" customHeight="1">
      <c r="A97" s="1"/>
      <c r="B97" s="20"/>
      <c r="C97" s="58" t="s">
        <v>33</v>
      </c>
      <c r="D97" s="24">
        <f>E97+F97</f>
        <v>240000</v>
      </c>
      <c r="E97" s="26"/>
      <c r="F97" s="24">
        <v>240000</v>
      </c>
      <c r="G97" s="45">
        <f>F97</f>
        <v>240000</v>
      </c>
      <c r="H97" s="24"/>
      <c r="I97" s="43">
        <f t="shared" si="6"/>
        <v>0</v>
      </c>
    </row>
    <row r="98" spans="1:9" ht="26.25" customHeight="1">
      <c r="A98" s="1"/>
      <c r="B98" s="20"/>
      <c r="C98" s="55" t="s">
        <v>179</v>
      </c>
      <c r="D98" s="24">
        <f>E98+F98</f>
        <v>50000</v>
      </c>
      <c r="E98" s="26"/>
      <c r="F98" s="24">
        <f>G98</f>
        <v>50000</v>
      </c>
      <c r="G98" s="45">
        <v>50000</v>
      </c>
      <c r="H98" s="24"/>
      <c r="I98" s="43"/>
    </row>
    <row r="99" spans="1:9" ht="25.5" customHeight="1">
      <c r="A99" s="1"/>
      <c r="B99" s="20"/>
      <c r="C99" s="55" t="s">
        <v>118</v>
      </c>
      <c r="D99" s="56">
        <f aca="true" t="shared" si="7" ref="D99:D106">G99</f>
        <v>580000</v>
      </c>
      <c r="E99" s="57"/>
      <c r="F99" s="56">
        <f aca="true" t="shared" si="8" ref="F99:F106">G99</f>
        <v>580000</v>
      </c>
      <c r="G99" s="52">
        <v>580000</v>
      </c>
      <c r="H99" s="24"/>
      <c r="I99" s="43">
        <f t="shared" si="6"/>
        <v>0</v>
      </c>
    </row>
    <row r="100" spans="1:9" ht="45" customHeight="1">
      <c r="A100" s="1"/>
      <c r="B100" s="20"/>
      <c r="C100" s="55" t="s">
        <v>119</v>
      </c>
      <c r="D100" s="56">
        <f t="shared" si="7"/>
        <v>133000</v>
      </c>
      <c r="E100" s="57"/>
      <c r="F100" s="56">
        <f t="shared" si="8"/>
        <v>133000</v>
      </c>
      <c r="G100" s="52">
        <v>133000</v>
      </c>
      <c r="H100" s="24"/>
      <c r="I100" s="43">
        <f t="shared" si="6"/>
        <v>0</v>
      </c>
    </row>
    <row r="101" spans="1:9" ht="24" customHeight="1">
      <c r="A101" s="1"/>
      <c r="B101" s="20"/>
      <c r="C101" s="55" t="s">
        <v>120</v>
      </c>
      <c r="D101" s="56">
        <f t="shared" si="7"/>
        <v>133000</v>
      </c>
      <c r="E101" s="57"/>
      <c r="F101" s="56">
        <f t="shared" si="8"/>
        <v>133000</v>
      </c>
      <c r="G101" s="52">
        <v>133000</v>
      </c>
      <c r="H101" s="24"/>
      <c r="I101" s="43">
        <f t="shared" si="6"/>
        <v>0</v>
      </c>
    </row>
    <row r="102" spans="1:9" ht="25.5" customHeight="1">
      <c r="A102" s="1"/>
      <c r="B102" s="20"/>
      <c r="C102" s="55" t="s">
        <v>121</v>
      </c>
      <c r="D102" s="56">
        <f t="shared" si="7"/>
        <v>232000</v>
      </c>
      <c r="E102" s="57"/>
      <c r="F102" s="56">
        <f t="shared" si="8"/>
        <v>232000</v>
      </c>
      <c r="G102" s="52">
        <v>232000</v>
      </c>
      <c r="H102" s="24"/>
      <c r="I102" s="43">
        <f t="shared" si="6"/>
        <v>0</v>
      </c>
    </row>
    <row r="103" spans="1:9" ht="25.5" customHeight="1">
      <c r="A103" s="1"/>
      <c r="B103" s="20"/>
      <c r="C103" s="55" t="s">
        <v>122</v>
      </c>
      <c r="D103" s="56">
        <f t="shared" si="7"/>
        <v>133000</v>
      </c>
      <c r="E103" s="57"/>
      <c r="F103" s="56">
        <f t="shared" si="8"/>
        <v>133000</v>
      </c>
      <c r="G103" s="52">
        <v>133000</v>
      </c>
      <c r="H103" s="24"/>
      <c r="I103" s="43">
        <f t="shared" si="6"/>
        <v>0</v>
      </c>
    </row>
    <row r="104" spans="1:9" ht="27" customHeight="1">
      <c r="A104" s="1"/>
      <c r="B104" s="20"/>
      <c r="C104" s="55" t="s">
        <v>123</v>
      </c>
      <c r="D104" s="56">
        <f t="shared" si="7"/>
        <v>615100</v>
      </c>
      <c r="E104" s="57"/>
      <c r="F104" s="56">
        <f t="shared" si="8"/>
        <v>615100</v>
      </c>
      <c r="G104" s="52">
        <f>767000-151900</f>
        <v>615100</v>
      </c>
      <c r="H104" s="52">
        <f>32000+25000+400000+155501.4</f>
        <v>612501.4</v>
      </c>
      <c r="I104" s="42">
        <f t="shared" si="6"/>
        <v>99.57753210860022</v>
      </c>
    </row>
    <row r="105" spans="1:9" ht="25.5" customHeight="1">
      <c r="A105" s="1"/>
      <c r="B105" s="20"/>
      <c r="C105" s="55" t="s">
        <v>124</v>
      </c>
      <c r="D105" s="56">
        <f t="shared" si="7"/>
        <v>979000</v>
      </c>
      <c r="E105" s="57"/>
      <c r="F105" s="56">
        <f t="shared" si="8"/>
        <v>979000</v>
      </c>
      <c r="G105" s="52">
        <v>979000</v>
      </c>
      <c r="H105" s="52">
        <f>28000+20000+360000+130576.93</f>
        <v>538576.9299999999</v>
      </c>
      <c r="I105" s="42">
        <f t="shared" si="6"/>
        <v>55.01296527068437</v>
      </c>
    </row>
    <row r="106" spans="1:9" ht="27" customHeight="1">
      <c r="A106" s="1"/>
      <c r="B106" s="20"/>
      <c r="C106" s="55" t="s">
        <v>125</v>
      </c>
      <c r="D106" s="56">
        <f t="shared" si="7"/>
        <v>493000</v>
      </c>
      <c r="E106" s="57"/>
      <c r="F106" s="56">
        <f t="shared" si="8"/>
        <v>493000</v>
      </c>
      <c r="G106" s="52">
        <f>560000-67000</f>
        <v>493000</v>
      </c>
      <c r="H106" s="52"/>
      <c r="I106" s="43">
        <f t="shared" si="6"/>
        <v>0</v>
      </c>
    </row>
    <row r="107" spans="1:9" ht="43.5" customHeight="1">
      <c r="A107" s="1"/>
      <c r="B107" s="20"/>
      <c r="C107" s="58" t="s">
        <v>31</v>
      </c>
      <c r="D107" s="24">
        <f>E107+F107</f>
        <v>134745</v>
      </c>
      <c r="E107" s="26"/>
      <c r="F107" s="24">
        <v>134745</v>
      </c>
      <c r="G107" s="45">
        <f>F107</f>
        <v>134745</v>
      </c>
      <c r="H107" s="52"/>
      <c r="I107" s="43">
        <f t="shared" si="6"/>
        <v>0</v>
      </c>
    </row>
    <row r="108" spans="1:9" ht="20.25" customHeight="1">
      <c r="A108" s="1"/>
      <c r="B108" s="20"/>
      <c r="C108" s="55" t="s">
        <v>126</v>
      </c>
      <c r="D108" s="56">
        <f aca="true" t="shared" si="9" ref="D108:D114">G108</f>
        <v>2516000</v>
      </c>
      <c r="E108" s="57"/>
      <c r="F108" s="56">
        <f aca="true" t="shared" si="10" ref="F108:F114">G108</f>
        <v>2516000</v>
      </c>
      <c r="G108" s="52">
        <f>2400000+116000</f>
        <v>2516000</v>
      </c>
      <c r="H108" s="52">
        <f>86000+194000</f>
        <v>280000</v>
      </c>
      <c r="I108" s="42">
        <f t="shared" si="6"/>
        <v>11.128775834658187</v>
      </c>
    </row>
    <row r="109" spans="1:9" ht="27" customHeight="1">
      <c r="A109" s="1"/>
      <c r="B109" s="20"/>
      <c r="C109" s="55" t="s">
        <v>127</v>
      </c>
      <c r="D109" s="56">
        <f t="shared" si="9"/>
        <v>2034000</v>
      </c>
      <c r="E109" s="57"/>
      <c r="F109" s="56">
        <f t="shared" si="10"/>
        <v>2034000</v>
      </c>
      <c r="G109" s="52">
        <v>2034000</v>
      </c>
      <c r="H109" s="52">
        <f>57425.03+133991.74</f>
        <v>191416.77</v>
      </c>
      <c r="I109" s="42">
        <f t="shared" si="6"/>
        <v>9.410853982300885</v>
      </c>
    </row>
    <row r="110" spans="1:9" ht="25.5" customHeight="1">
      <c r="A110" s="1"/>
      <c r="B110" s="20"/>
      <c r="C110" s="55" t="s">
        <v>128</v>
      </c>
      <c r="D110" s="56">
        <f t="shared" si="9"/>
        <v>3501000</v>
      </c>
      <c r="E110" s="57"/>
      <c r="F110" s="56">
        <f t="shared" si="10"/>
        <v>3501000</v>
      </c>
      <c r="G110" s="52">
        <f>2301000+1200000</f>
        <v>3501000</v>
      </c>
      <c r="H110" s="52">
        <f>1100000+1156000+18212.82+1065275</f>
        <v>3339487.82</v>
      </c>
      <c r="I110" s="42">
        <f t="shared" si="6"/>
        <v>95.3866843758926</v>
      </c>
    </row>
    <row r="111" spans="1:9" ht="25.5" customHeight="1">
      <c r="A111" s="1"/>
      <c r="B111" s="20"/>
      <c r="C111" s="55" t="s">
        <v>164</v>
      </c>
      <c r="D111" s="56">
        <f t="shared" si="9"/>
        <v>1472000</v>
      </c>
      <c r="E111" s="57"/>
      <c r="F111" s="56">
        <f t="shared" si="10"/>
        <v>1472000</v>
      </c>
      <c r="G111" s="52">
        <f>767000+528000+177000</f>
        <v>1472000</v>
      </c>
      <c r="H111" s="52">
        <f>33000+26000+1050000+337396.91+20161.07</f>
        <v>1466557.98</v>
      </c>
      <c r="I111" s="42">
        <f t="shared" si="6"/>
        <v>99.63029755434782</v>
      </c>
    </row>
    <row r="112" spans="1:9" ht="27" customHeight="1">
      <c r="A112" s="1"/>
      <c r="B112" s="20"/>
      <c r="C112" s="55" t="s">
        <v>129</v>
      </c>
      <c r="D112" s="56">
        <f t="shared" si="9"/>
        <v>367000</v>
      </c>
      <c r="E112" s="57"/>
      <c r="F112" s="56">
        <f t="shared" si="10"/>
        <v>367000</v>
      </c>
      <c r="G112" s="52">
        <v>367000</v>
      </c>
      <c r="H112" s="52">
        <f>67000+51000+51000</f>
        <v>169000</v>
      </c>
      <c r="I112" s="42">
        <f t="shared" si="6"/>
        <v>46.049046321525886</v>
      </c>
    </row>
    <row r="113" spans="1:9" ht="28.5" customHeight="1">
      <c r="A113" s="1"/>
      <c r="B113" s="20"/>
      <c r="C113" s="55" t="s">
        <v>130</v>
      </c>
      <c r="D113" s="56">
        <f t="shared" si="9"/>
        <v>837000</v>
      </c>
      <c r="E113" s="57"/>
      <c r="F113" s="56">
        <f t="shared" si="10"/>
        <v>837000</v>
      </c>
      <c r="G113" s="52">
        <f>770000+67000</f>
        <v>837000</v>
      </c>
      <c r="H113" s="52">
        <f>21000+23000+763798.77</f>
        <v>807798.77</v>
      </c>
      <c r="I113" s="42">
        <f t="shared" si="6"/>
        <v>96.51120310633215</v>
      </c>
    </row>
    <row r="114" spans="1:9" ht="21.75" customHeight="1">
      <c r="A114" s="1"/>
      <c r="B114" s="20"/>
      <c r="C114" s="55" t="s">
        <v>131</v>
      </c>
      <c r="D114" s="56">
        <f t="shared" si="9"/>
        <v>300000</v>
      </c>
      <c r="E114" s="57"/>
      <c r="F114" s="56">
        <f t="shared" si="10"/>
        <v>300000</v>
      </c>
      <c r="G114" s="52">
        <f>767000-467000</f>
        <v>300000</v>
      </c>
      <c r="H114" s="52">
        <f>15000+11000</f>
        <v>26000</v>
      </c>
      <c r="I114" s="42">
        <f t="shared" si="6"/>
        <v>8.666666666666668</v>
      </c>
    </row>
    <row r="115" spans="1:9" ht="41.25" customHeight="1">
      <c r="A115" s="1"/>
      <c r="B115" s="20"/>
      <c r="C115" s="58" t="s">
        <v>32</v>
      </c>
      <c r="D115" s="24">
        <f>E115+F115</f>
        <v>70000</v>
      </c>
      <c r="E115" s="26"/>
      <c r="F115" s="24">
        <v>70000</v>
      </c>
      <c r="G115" s="45">
        <f>F115</f>
        <v>70000</v>
      </c>
      <c r="H115" s="24"/>
      <c r="I115" s="43">
        <f t="shared" si="6"/>
        <v>0</v>
      </c>
    </row>
    <row r="116" spans="1:9" ht="38.25" customHeight="1">
      <c r="A116" s="1"/>
      <c r="B116" s="20"/>
      <c r="C116" s="55" t="s">
        <v>167</v>
      </c>
      <c r="D116" s="56">
        <f aca="true" t="shared" si="11" ref="D116:D139">G116</f>
        <v>918900</v>
      </c>
      <c r="E116" s="57"/>
      <c r="F116" s="56">
        <f aca="true" t="shared" si="12" ref="F116:F139">G116</f>
        <v>918900</v>
      </c>
      <c r="G116" s="52">
        <f>767000+151900</f>
        <v>918900</v>
      </c>
      <c r="H116" s="24"/>
      <c r="I116" s="43">
        <f t="shared" si="6"/>
        <v>0</v>
      </c>
    </row>
    <row r="117" spans="1:9" ht="21.75" customHeight="1">
      <c r="A117" s="1"/>
      <c r="B117" s="20"/>
      <c r="C117" s="55" t="s">
        <v>132</v>
      </c>
      <c r="D117" s="56">
        <f t="shared" si="11"/>
        <v>1473500</v>
      </c>
      <c r="E117" s="57"/>
      <c r="F117" s="56">
        <f t="shared" si="12"/>
        <v>1473500</v>
      </c>
      <c r="G117" s="52">
        <v>1473500</v>
      </c>
      <c r="H117" s="24"/>
      <c r="I117" s="43">
        <f t="shared" si="6"/>
        <v>0</v>
      </c>
    </row>
    <row r="118" spans="1:9" ht="27.75" customHeight="1">
      <c r="A118" s="1"/>
      <c r="B118" s="20"/>
      <c r="C118" s="55" t="s">
        <v>133</v>
      </c>
      <c r="D118" s="56">
        <f t="shared" si="11"/>
        <v>4845598</v>
      </c>
      <c r="E118" s="57"/>
      <c r="F118" s="56">
        <f t="shared" si="12"/>
        <v>4845598</v>
      </c>
      <c r="G118" s="52">
        <f>4555598+290000</f>
        <v>4845598</v>
      </c>
      <c r="H118" s="52">
        <f>1339880+284982.79+729917+12975.28+802117+33772+1104914</f>
        <v>4308558.07</v>
      </c>
      <c r="I118" s="42">
        <f t="shared" si="6"/>
        <v>88.91695245870582</v>
      </c>
    </row>
    <row r="119" spans="1:9" ht="31.5" customHeight="1">
      <c r="A119" s="1"/>
      <c r="B119" s="20"/>
      <c r="C119" s="55" t="s">
        <v>134</v>
      </c>
      <c r="D119" s="56">
        <f t="shared" si="11"/>
        <v>5206455</v>
      </c>
      <c r="E119" s="57"/>
      <c r="F119" s="56">
        <f t="shared" si="12"/>
        <v>5206455</v>
      </c>
      <c r="G119" s="52">
        <v>5206455</v>
      </c>
      <c r="H119" s="52">
        <f>2533359+1399329</f>
        <v>3932688</v>
      </c>
      <c r="I119" s="42">
        <f t="shared" si="6"/>
        <v>75.53485048848016</v>
      </c>
    </row>
    <row r="120" spans="1:9" ht="33" customHeight="1">
      <c r="A120" s="1"/>
      <c r="B120" s="20"/>
      <c r="C120" s="55" t="s">
        <v>135</v>
      </c>
      <c r="D120" s="56">
        <f t="shared" si="11"/>
        <v>4678629</v>
      </c>
      <c r="E120" s="57"/>
      <c r="F120" s="56">
        <f t="shared" si="12"/>
        <v>4678629</v>
      </c>
      <c r="G120" s="52">
        <v>4678629</v>
      </c>
      <c r="H120" s="52"/>
      <c r="I120" s="43">
        <f t="shared" si="6"/>
        <v>0</v>
      </c>
    </row>
    <row r="121" spans="1:9" ht="28.5" customHeight="1">
      <c r="A121" s="1"/>
      <c r="B121" s="20"/>
      <c r="C121" s="55" t="s">
        <v>165</v>
      </c>
      <c r="D121" s="56">
        <f t="shared" si="11"/>
        <v>443000</v>
      </c>
      <c r="E121" s="57"/>
      <c r="F121" s="56">
        <f t="shared" si="12"/>
        <v>443000</v>
      </c>
      <c r="G121" s="52">
        <f>367000+76000</f>
        <v>443000</v>
      </c>
      <c r="H121" s="52">
        <f>34000+24000+80000</f>
        <v>138000</v>
      </c>
      <c r="I121" s="42">
        <f t="shared" si="6"/>
        <v>31.15124153498871</v>
      </c>
    </row>
    <row r="122" spans="1:9" ht="28.5" customHeight="1">
      <c r="A122" s="1"/>
      <c r="B122" s="20"/>
      <c r="C122" s="55" t="s">
        <v>136</v>
      </c>
      <c r="D122" s="56">
        <f t="shared" si="11"/>
        <v>3829000</v>
      </c>
      <c r="E122" s="57"/>
      <c r="F122" s="56">
        <f t="shared" si="12"/>
        <v>3829000</v>
      </c>
      <c r="G122" s="52">
        <v>3829000</v>
      </c>
      <c r="H122" s="52"/>
      <c r="I122" s="43">
        <f t="shared" si="6"/>
        <v>0</v>
      </c>
    </row>
    <row r="123" spans="1:9" ht="24" customHeight="1">
      <c r="A123" s="1"/>
      <c r="B123" s="20"/>
      <c r="C123" s="55" t="s">
        <v>137</v>
      </c>
      <c r="D123" s="56">
        <f t="shared" si="11"/>
        <v>3700000</v>
      </c>
      <c r="E123" s="57"/>
      <c r="F123" s="56">
        <f t="shared" si="12"/>
        <v>3700000</v>
      </c>
      <c r="G123" s="52">
        <v>3700000</v>
      </c>
      <c r="H123" s="52">
        <f>1800000</f>
        <v>1800000</v>
      </c>
      <c r="I123" s="42">
        <f t="shared" si="6"/>
        <v>48.64864864864865</v>
      </c>
    </row>
    <row r="124" spans="1:9" ht="24" customHeight="1">
      <c r="A124" s="1"/>
      <c r="B124" s="20"/>
      <c r="C124" s="55" t="s">
        <v>138</v>
      </c>
      <c r="D124" s="56">
        <f t="shared" si="11"/>
        <v>516000</v>
      </c>
      <c r="E124" s="57"/>
      <c r="F124" s="56">
        <f t="shared" si="12"/>
        <v>516000</v>
      </c>
      <c r="G124" s="52">
        <f>400000+116000</f>
        <v>516000</v>
      </c>
      <c r="H124" s="52">
        <f>173000</f>
        <v>173000</v>
      </c>
      <c r="I124" s="42">
        <f t="shared" si="6"/>
        <v>33.52713178294574</v>
      </c>
    </row>
    <row r="125" spans="1:9" ht="28.5" customHeight="1">
      <c r="A125" s="1"/>
      <c r="B125" s="20"/>
      <c r="C125" s="55" t="s">
        <v>139</v>
      </c>
      <c r="D125" s="56">
        <f t="shared" si="11"/>
        <v>5981700</v>
      </c>
      <c r="E125" s="57"/>
      <c r="F125" s="56">
        <f t="shared" si="12"/>
        <v>5981700</v>
      </c>
      <c r="G125" s="52">
        <v>5981700</v>
      </c>
      <c r="H125" s="50">
        <f>2873000+2837862.43-2308122.56+2529936.44</f>
        <v>5932676.31</v>
      </c>
      <c r="I125" s="42">
        <f t="shared" si="6"/>
        <v>99.18043883845729</v>
      </c>
    </row>
    <row r="126" spans="1:9" ht="26.25" customHeight="1">
      <c r="A126" s="1"/>
      <c r="B126" s="20"/>
      <c r="C126" s="55" t="s">
        <v>140</v>
      </c>
      <c r="D126" s="56">
        <f t="shared" si="11"/>
        <v>935000</v>
      </c>
      <c r="E126" s="57"/>
      <c r="F126" s="56">
        <f t="shared" si="12"/>
        <v>935000</v>
      </c>
      <c r="G126" s="52">
        <v>935000</v>
      </c>
      <c r="H126" s="52" t="s">
        <v>153</v>
      </c>
      <c r="I126" s="43" t="e">
        <f t="shared" si="6"/>
        <v>#VALUE!</v>
      </c>
    </row>
    <row r="127" spans="1:9" ht="26.25" customHeight="1">
      <c r="A127" s="1"/>
      <c r="B127" s="20"/>
      <c r="C127" s="55" t="s">
        <v>141</v>
      </c>
      <c r="D127" s="56">
        <f t="shared" si="11"/>
        <v>1460000</v>
      </c>
      <c r="E127" s="57"/>
      <c r="F127" s="56">
        <f t="shared" si="12"/>
        <v>1460000</v>
      </c>
      <c r="G127" s="52">
        <v>1460000</v>
      </c>
      <c r="H127" s="52">
        <f>29000+21000</f>
        <v>50000</v>
      </c>
      <c r="I127" s="42">
        <f t="shared" si="6"/>
        <v>3.4246575342465753</v>
      </c>
    </row>
    <row r="128" spans="1:9" ht="26.25" customHeight="1">
      <c r="A128" s="1"/>
      <c r="B128" s="20"/>
      <c r="C128" s="55" t="s">
        <v>142</v>
      </c>
      <c r="D128" s="56">
        <f t="shared" si="11"/>
        <v>1534000</v>
      </c>
      <c r="E128" s="57"/>
      <c r="F128" s="56">
        <f t="shared" si="12"/>
        <v>1534000</v>
      </c>
      <c r="G128" s="52">
        <v>1534000</v>
      </c>
      <c r="H128" s="52">
        <f>81000+59000</f>
        <v>140000</v>
      </c>
      <c r="I128" s="42">
        <f t="shared" si="6"/>
        <v>9.126466753585397</v>
      </c>
    </row>
    <row r="129" spans="1:9" ht="26.25" customHeight="1">
      <c r="A129" s="1"/>
      <c r="B129" s="20"/>
      <c r="C129" s="55" t="s">
        <v>143</v>
      </c>
      <c r="D129" s="56">
        <f t="shared" si="11"/>
        <v>11585000</v>
      </c>
      <c r="E129" s="57"/>
      <c r="F129" s="56">
        <f t="shared" si="12"/>
        <v>11585000</v>
      </c>
      <c r="G129" s="52">
        <f>12352000-767000</f>
        <v>11585000</v>
      </c>
      <c r="H129" s="52">
        <f>159000+364000+191373.72+137000+127000+2799619.35+230144.75+309727.82+3000000</f>
        <v>7317865.640000001</v>
      </c>
      <c r="I129" s="42">
        <f t="shared" si="6"/>
        <v>63.166729736728534</v>
      </c>
    </row>
    <row r="130" spans="1:9" ht="26.25" customHeight="1">
      <c r="A130" s="1"/>
      <c r="B130" s="20"/>
      <c r="C130" s="55" t="s">
        <v>144</v>
      </c>
      <c r="D130" s="56">
        <f t="shared" si="11"/>
        <v>3200000</v>
      </c>
      <c r="E130" s="57"/>
      <c r="F130" s="56">
        <f t="shared" si="12"/>
        <v>3200000</v>
      </c>
      <c r="G130" s="52">
        <f>700000+2500000</f>
        <v>3200000</v>
      </c>
      <c r="H130" s="52">
        <f>178841+107000+461139+64000+76646.85+89000</f>
        <v>976626.85</v>
      </c>
      <c r="I130" s="42">
        <f t="shared" si="6"/>
        <v>30.519589062499996</v>
      </c>
    </row>
    <row r="131" spans="1:9" ht="26.25" customHeight="1">
      <c r="A131" s="1"/>
      <c r="B131" s="20"/>
      <c r="C131" s="55" t="s">
        <v>145</v>
      </c>
      <c r="D131" s="56">
        <f t="shared" si="11"/>
        <v>33000</v>
      </c>
      <c r="E131" s="57"/>
      <c r="F131" s="56">
        <f t="shared" si="12"/>
        <v>33000</v>
      </c>
      <c r="G131" s="52">
        <v>33000</v>
      </c>
      <c r="H131" s="52"/>
      <c r="I131" s="43">
        <f t="shared" si="6"/>
        <v>0</v>
      </c>
    </row>
    <row r="132" spans="1:9" ht="26.25" customHeight="1">
      <c r="A132" s="1"/>
      <c r="B132" s="20"/>
      <c r="C132" s="55" t="s">
        <v>146</v>
      </c>
      <c r="D132" s="56">
        <f t="shared" si="11"/>
        <v>116000</v>
      </c>
      <c r="E132" s="57"/>
      <c r="F132" s="56">
        <f t="shared" si="12"/>
        <v>116000</v>
      </c>
      <c r="G132" s="52">
        <v>116000</v>
      </c>
      <c r="H132" s="24"/>
      <c r="I132" s="43">
        <f t="shared" si="6"/>
        <v>0</v>
      </c>
    </row>
    <row r="133" spans="1:9" ht="26.25" customHeight="1">
      <c r="A133" s="1"/>
      <c r="B133" s="20"/>
      <c r="C133" s="55" t="s">
        <v>151</v>
      </c>
      <c r="D133" s="56">
        <f>G133</f>
        <v>446000</v>
      </c>
      <c r="E133" s="57"/>
      <c r="F133" s="56">
        <f>G133</f>
        <v>446000</v>
      </c>
      <c r="G133" s="52">
        <v>446000</v>
      </c>
      <c r="H133" s="24"/>
      <c r="I133" s="43">
        <f t="shared" si="6"/>
        <v>0</v>
      </c>
    </row>
    <row r="134" spans="1:9" ht="26.25" customHeight="1">
      <c r="A134" s="1"/>
      <c r="B134" s="20"/>
      <c r="C134" s="55" t="s">
        <v>152</v>
      </c>
      <c r="D134" s="56">
        <f>G134</f>
        <v>1440000</v>
      </c>
      <c r="E134" s="57"/>
      <c r="F134" s="56">
        <f>G134</f>
        <v>1440000</v>
      </c>
      <c r="G134" s="52">
        <v>1440000</v>
      </c>
      <c r="H134" s="24">
        <f>62229.22+950000</f>
        <v>1012229.22</v>
      </c>
      <c r="I134" s="42">
        <f t="shared" si="6"/>
        <v>70.29369583333333</v>
      </c>
    </row>
    <row r="135" spans="1:9" ht="26.25" customHeight="1">
      <c r="A135" s="1"/>
      <c r="B135" s="20"/>
      <c r="C135" s="55" t="s">
        <v>147</v>
      </c>
      <c r="D135" s="56">
        <f t="shared" si="11"/>
        <v>722000</v>
      </c>
      <c r="E135" s="57"/>
      <c r="F135" s="56">
        <f t="shared" si="12"/>
        <v>722000</v>
      </c>
      <c r="G135" s="52">
        <v>722000</v>
      </c>
      <c r="H135" s="24">
        <f>283637+170080</f>
        <v>453717</v>
      </c>
      <c r="I135" s="42">
        <f t="shared" si="6"/>
        <v>62.84168975069252</v>
      </c>
    </row>
    <row r="136" spans="1:9" ht="26.25" customHeight="1">
      <c r="A136" s="1"/>
      <c r="B136" s="20"/>
      <c r="C136" s="55" t="s">
        <v>148</v>
      </c>
      <c r="D136" s="56">
        <f t="shared" si="11"/>
        <v>72500</v>
      </c>
      <c r="E136" s="57"/>
      <c r="F136" s="56">
        <f t="shared" si="12"/>
        <v>72500</v>
      </c>
      <c r="G136" s="52">
        <v>72500</v>
      </c>
      <c r="H136" s="24"/>
      <c r="I136" s="43">
        <f t="shared" si="6"/>
        <v>0</v>
      </c>
    </row>
    <row r="137" spans="1:9" ht="23.25" customHeight="1">
      <c r="A137" s="1"/>
      <c r="B137" s="20"/>
      <c r="C137" s="55" t="s">
        <v>172</v>
      </c>
      <c r="D137" s="56">
        <f>G137</f>
        <v>117000</v>
      </c>
      <c r="E137" s="57"/>
      <c r="F137" s="56">
        <f>G137</f>
        <v>117000</v>
      </c>
      <c r="G137" s="52">
        <v>117000</v>
      </c>
      <c r="H137" s="52"/>
      <c r="I137" s="43">
        <f>H137/D137*100</f>
        <v>0</v>
      </c>
    </row>
    <row r="138" spans="1:9" ht="25.5" customHeight="1">
      <c r="A138" s="1"/>
      <c r="B138" s="20"/>
      <c r="C138" s="55" t="s">
        <v>173</v>
      </c>
      <c r="D138" s="56">
        <f>G138</f>
        <v>116000</v>
      </c>
      <c r="E138" s="57"/>
      <c r="F138" s="56">
        <f>G138</f>
        <v>116000</v>
      </c>
      <c r="G138" s="52">
        <v>116000</v>
      </c>
      <c r="H138" s="52"/>
      <c r="I138" s="43">
        <f>H138/D138*100</f>
        <v>0</v>
      </c>
    </row>
    <row r="139" spans="1:9" ht="26.25" customHeight="1">
      <c r="A139" s="1"/>
      <c r="B139" s="20"/>
      <c r="C139" s="55" t="s">
        <v>149</v>
      </c>
      <c r="D139" s="56">
        <f t="shared" si="11"/>
        <v>714000</v>
      </c>
      <c r="E139" s="57"/>
      <c r="F139" s="56">
        <f t="shared" si="12"/>
        <v>714000</v>
      </c>
      <c r="G139" s="52">
        <f>357000+357000</f>
        <v>714000</v>
      </c>
      <c r="H139" s="24"/>
      <c r="I139" s="43">
        <f t="shared" si="6"/>
        <v>0</v>
      </c>
    </row>
    <row r="140" spans="1:9" ht="36" customHeight="1">
      <c r="A140" s="63" t="s">
        <v>64</v>
      </c>
      <c r="B140" s="63"/>
      <c r="C140" s="63"/>
      <c r="D140" s="63"/>
      <c r="E140" s="63"/>
      <c r="F140" s="63"/>
      <c r="G140" s="63"/>
      <c r="H140" s="63"/>
      <c r="I140" s="63"/>
    </row>
    <row r="141" spans="1:9" ht="18.75">
      <c r="A141" s="16">
        <v>2</v>
      </c>
      <c r="B141" s="17"/>
      <c r="C141" s="18" t="s">
        <v>26</v>
      </c>
      <c r="D141" s="19">
        <f>D142</f>
        <v>141402000</v>
      </c>
      <c r="E141" s="19"/>
      <c r="F141" s="19">
        <f>F142</f>
        <v>141402000</v>
      </c>
      <c r="G141" s="19">
        <f>G142</f>
        <v>141402000</v>
      </c>
      <c r="H141" s="19">
        <f>H142</f>
        <v>54365178.620000005</v>
      </c>
      <c r="I141" s="39">
        <f>H141/D141*100</f>
        <v>38.447248709353474</v>
      </c>
    </row>
    <row r="142" spans="1:9" ht="21" customHeight="1">
      <c r="A142" s="46"/>
      <c r="B142" s="46"/>
      <c r="C142" s="21" t="s">
        <v>30</v>
      </c>
      <c r="D142" s="53">
        <f>SUM(D143:D174)</f>
        <v>141402000</v>
      </c>
      <c r="E142" s="53"/>
      <c r="F142" s="53">
        <f>SUM(F143:F174)</f>
        <v>141402000</v>
      </c>
      <c r="G142" s="53">
        <f>SUM(G143:G174)</f>
        <v>141402000</v>
      </c>
      <c r="H142" s="53">
        <f>SUM(H143:H174)</f>
        <v>54365178.620000005</v>
      </c>
      <c r="I142" s="54">
        <f>H142/D142*100</f>
        <v>38.447248709353474</v>
      </c>
    </row>
    <row r="143" spans="1:9" ht="37.5" customHeight="1">
      <c r="A143" s="46"/>
      <c r="B143" s="46"/>
      <c r="C143" s="23" t="s">
        <v>155</v>
      </c>
      <c r="D143" s="50">
        <f>F143</f>
        <v>5000</v>
      </c>
      <c r="E143" s="53"/>
      <c r="F143" s="50">
        <f>G143</f>
        <v>5000</v>
      </c>
      <c r="G143" s="50">
        <v>5000</v>
      </c>
      <c r="H143" s="53"/>
      <c r="I143" s="54"/>
    </row>
    <row r="144" spans="1:9" ht="26.25" customHeight="1">
      <c r="A144" s="1"/>
      <c r="B144" s="20"/>
      <c r="C144" s="47" t="s">
        <v>35</v>
      </c>
      <c r="D144" s="50">
        <f>F144</f>
        <v>900000</v>
      </c>
      <c r="E144" s="26"/>
      <c r="F144" s="50">
        <f>G144</f>
        <v>900000</v>
      </c>
      <c r="G144" s="50">
        <v>900000</v>
      </c>
      <c r="H144" s="24"/>
      <c r="I144" s="42"/>
    </row>
    <row r="145" spans="1:9" ht="26.25" customHeight="1">
      <c r="A145" s="1"/>
      <c r="B145" s="20"/>
      <c r="C145" s="47" t="s">
        <v>36</v>
      </c>
      <c r="D145" s="50">
        <f aca="true" t="shared" si="13" ref="D145:D174">F145</f>
        <v>11000000</v>
      </c>
      <c r="E145" s="26"/>
      <c r="F145" s="50">
        <f aca="true" t="shared" si="14" ref="F145:F174">G145</f>
        <v>11000000</v>
      </c>
      <c r="G145" s="50">
        <v>11000000</v>
      </c>
      <c r="H145" s="24"/>
      <c r="I145" s="42"/>
    </row>
    <row r="146" spans="1:7" ht="18.75">
      <c r="A146" s="1"/>
      <c r="B146" s="20"/>
      <c r="C146" s="47" t="s">
        <v>174</v>
      </c>
      <c r="D146" s="24">
        <f>E146+F146</f>
        <v>500000</v>
      </c>
      <c r="E146" s="26"/>
      <c r="F146" s="50">
        <v>500000</v>
      </c>
      <c r="G146" s="45">
        <f>F146</f>
        <v>500000</v>
      </c>
    </row>
    <row r="147" spans="1:9" ht="28.5" customHeight="1">
      <c r="A147" s="1"/>
      <c r="B147" s="20"/>
      <c r="C147" s="47" t="s">
        <v>37</v>
      </c>
      <c r="D147" s="50">
        <f t="shared" si="13"/>
        <v>1000000</v>
      </c>
      <c r="E147" s="26"/>
      <c r="F147" s="50">
        <f t="shared" si="14"/>
        <v>1000000</v>
      </c>
      <c r="G147" s="50">
        <v>1000000</v>
      </c>
      <c r="H147" s="24"/>
      <c r="I147" s="42"/>
    </row>
    <row r="148" spans="1:9" ht="24.75" customHeight="1">
      <c r="A148" s="1"/>
      <c r="B148" s="20"/>
      <c r="C148" s="47" t="s">
        <v>38</v>
      </c>
      <c r="D148" s="50">
        <f t="shared" si="13"/>
        <v>500000</v>
      </c>
      <c r="E148" s="26"/>
      <c r="F148" s="50">
        <f t="shared" si="14"/>
        <v>500000</v>
      </c>
      <c r="G148" s="50">
        <v>500000</v>
      </c>
      <c r="H148" s="24">
        <f>20944</f>
        <v>20944</v>
      </c>
      <c r="I148" s="44">
        <f>H148/G148*100</f>
        <v>4.1888000000000005</v>
      </c>
    </row>
    <row r="149" spans="1:9" ht="24.75" customHeight="1">
      <c r="A149" s="1"/>
      <c r="B149" s="20"/>
      <c r="C149" s="47" t="s">
        <v>39</v>
      </c>
      <c r="D149" s="50">
        <f t="shared" si="13"/>
        <v>8750000</v>
      </c>
      <c r="E149" s="26"/>
      <c r="F149" s="50">
        <f t="shared" si="14"/>
        <v>8750000</v>
      </c>
      <c r="G149" s="50">
        <v>8750000</v>
      </c>
      <c r="H149" s="50">
        <f>1500000+2300000+351862.03</f>
        <v>4151862.0300000003</v>
      </c>
      <c r="I149" s="44">
        <f>H149/G149*100</f>
        <v>47.44985177142858</v>
      </c>
    </row>
    <row r="150" spans="1:9" ht="26.25" customHeight="1">
      <c r="A150" s="1"/>
      <c r="B150" s="20"/>
      <c r="C150" s="47" t="s">
        <v>40</v>
      </c>
      <c r="D150" s="50">
        <f t="shared" si="13"/>
        <v>8600000</v>
      </c>
      <c r="E150" s="26"/>
      <c r="F150" s="50">
        <f t="shared" si="14"/>
        <v>8600000</v>
      </c>
      <c r="G150" s="50">
        <v>8600000</v>
      </c>
      <c r="H150" s="50">
        <f>3300000+3111386.39+40091.81-1500000</f>
        <v>4951478.2</v>
      </c>
      <c r="I150" s="44">
        <f>H150/G150*100</f>
        <v>57.575327906976746</v>
      </c>
    </row>
    <row r="151" spans="1:9" ht="26.25" customHeight="1">
      <c r="A151" s="1"/>
      <c r="B151" s="20"/>
      <c r="C151" s="47" t="s">
        <v>41</v>
      </c>
      <c r="D151" s="50">
        <f t="shared" si="13"/>
        <v>5000000</v>
      </c>
      <c r="E151" s="26"/>
      <c r="F151" s="50">
        <f t="shared" si="14"/>
        <v>5000000</v>
      </c>
      <c r="G151" s="50">
        <v>5000000</v>
      </c>
      <c r="H151" s="50"/>
      <c r="I151" s="44"/>
    </row>
    <row r="152" spans="1:9" ht="24" customHeight="1">
      <c r="A152" s="1"/>
      <c r="B152" s="20"/>
      <c r="C152" s="47" t="s">
        <v>42</v>
      </c>
      <c r="D152" s="50">
        <f t="shared" si="13"/>
        <v>7700000</v>
      </c>
      <c r="E152" s="26"/>
      <c r="F152" s="50">
        <f t="shared" si="14"/>
        <v>7700000</v>
      </c>
      <c r="G152" s="50">
        <v>7700000</v>
      </c>
      <c r="H152" s="50">
        <f>43461.4</f>
        <v>43461.4</v>
      </c>
      <c r="I152" s="44">
        <f>H152/G152*100</f>
        <v>0.5644337662337662</v>
      </c>
    </row>
    <row r="153" spans="1:9" ht="21" customHeight="1">
      <c r="A153" s="1"/>
      <c r="B153" s="20"/>
      <c r="C153" s="47" t="s">
        <v>43</v>
      </c>
      <c r="D153" s="50">
        <f t="shared" si="13"/>
        <v>1000000</v>
      </c>
      <c r="E153" s="26"/>
      <c r="F153" s="50">
        <f t="shared" si="14"/>
        <v>1000000</v>
      </c>
      <c r="G153" s="50">
        <v>1000000</v>
      </c>
      <c r="H153" s="50"/>
      <c r="I153" s="44"/>
    </row>
    <row r="154" spans="1:9" ht="24" customHeight="1">
      <c r="A154" s="1"/>
      <c r="B154" s="20"/>
      <c r="C154" s="47" t="s">
        <v>44</v>
      </c>
      <c r="D154" s="50">
        <f t="shared" si="13"/>
        <v>500000</v>
      </c>
      <c r="E154" s="26"/>
      <c r="F154" s="50">
        <f t="shared" si="14"/>
        <v>500000</v>
      </c>
      <c r="G154" s="50">
        <v>500000</v>
      </c>
      <c r="H154" s="50"/>
      <c r="I154" s="44"/>
    </row>
    <row r="155" spans="1:9" ht="24.75" customHeight="1">
      <c r="A155" s="1"/>
      <c r="B155" s="20"/>
      <c r="C155" s="47" t="s">
        <v>45</v>
      </c>
      <c r="D155" s="50">
        <f t="shared" si="13"/>
        <v>5000000</v>
      </c>
      <c r="E155" s="26"/>
      <c r="F155" s="50">
        <f t="shared" si="14"/>
        <v>5000000</v>
      </c>
      <c r="G155" s="50">
        <v>5000000</v>
      </c>
      <c r="H155" s="50">
        <f>1460000+1581342.49</f>
        <v>3041342.49</v>
      </c>
      <c r="I155" s="44">
        <f>H155/G155*100</f>
        <v>60.826849800000005</v>
      </c>
    </row>
    <row r="156" spans="1:9" ht="22.5" customHeight="1">
      <c r="A156" s="1"/>
      <c r="B156" s="20"/>
      <c r="C156" s="47" t="s">
        <v>46</v>
      </c>
      <c r="D156" s="50">
        <f t="shared" si="13"/>
        <v>500000</v>
      </c>
      <c r="E156" s="26"/>
      <c r="F156" s="50">
        <f t="shared" si="14"/>
        <v>500000</v>
      </c>
      <c r="G156" s="50">
        <v>500000</v>
      </c>
      <c r="H156" s="50">
        <f>14391.08</f>
        <v>14391.08</v>
      </c>
      <c r="I156" s="44">
        <f>H156/G156*100</f>
        <v>2.878216</v>
      </c>
    </row>
    <row r="157" spans="1:9" ht="26.25" customHeight="1">
      <c r="A157" s="1"/>
      <c r="B157" s="20"/>
      <c r="C157" s="47" t="s">
        <v>47</v>
      </c>
      <c r="D157" s="50">
        <f t="shared" si="13"/>
        <v>1000000</v>
      </c>
      <c r="E157" s="26"/>
      <c r="F157" s="50">
        <f t="shared" si="14"/>
        <v>1000000</v>
      </c>
      <c r="G157" s="50">
        <v>1000000</v>
      </c>
      <c r="H157" s="50"/>
      <c r="I157" s="42"/>
    </row>
    <row r="158" spans="1:9" ht="27.75" customHeight="1">
      <c r="A158" s="1"/>
      <c r="B158" s="20"/>
      <c r="C158" s="47" t="s">
        <v>48</v>
      </c>
      <c r="D158" s="50">
        <f t="shared" si="13"/>
        <v>1310000</v>
      </c>
      <c r="E158" s="26"/>
      <c r="F158" s="50">
        <f t="shared" si="14"/>
        <v>1310000</v>
      </c>
      <c r="G158" s="50">
        <f>1810000-500000</f>
        <v>1310000</v>
      </c>
      <c r="H158" s="50"/>
      <c r="I158" s="42"/>
    </row>
    <row r="159" spans="1:9" ht="27.75" customHeight="1">
      <c r="A159" s="1"/>
      <c r="B159" s="20"/>
      <c r="C159" s="47" t="s">
        <v>49</v>
      </c>
      <c r="D159" s="50">
        <f t="shared" si="13"/>
        <v>37000000</v>
      </c>
      <c r="E159" s="26"/>
      <c r="F159" s="50">
        <f t="shared" si="14"/>
        <v>37000000</v>
      </c>
      <c r="G159" s="50">
        <f>27000000+1993500+8006500</f>
        <v>37000000</v>
      </c>
      <c r="H159" s="50">
        <f>16806225.23+2399840.4+1688728.36+6065043.03+84921.28+363713.37</f>
        <v>27408471.67</v>
      </c>
      <c r="I159" s="44">
        <f>H159/G159*100</f>
        <v>74.07695045945947</v>
      </c>
    </row>
    <row r="160" spans="1:9" ht="24.75" customHeight="1">
      <c r="A160" s="1"/>
      <c r="B160" s="20"/>
      <c r="C160" s="47" t="s">
        <v>156</v>
      </c>
      <c r="D160" s="50">
        <f t="shared" si="13"/>
        <v>1500000</v>
      </c>
      <c r="E160" s="26"/>
      <c r="F160" s="50">
        <f t="shared" si="14"/>
        <v>1500000</v>
      </c>
      <c r="G160" s="50">
        <v>1500000</v>
      </c>
      <c r="H160" s="50"/>
      <c r="I160" s="44"/>
    </row>
    <row r="161" spans="1:9" ht="45" customHeight="1">
      <c r="A161" s="1"/>
      <c r="B161" s="20"/>
      <c r="C161" s="48" t="s">
        <v>50</v>
      </c>
      <c r="D161" s="50">
        <f t="shared" si="13"/>
        <v>3200000</v>
      </c>
      <c r="E161" s="26"/>
      <c r="F161" s="50">
        <f t="shared" si="14"/>
        <v>3200000</v>
      </c>
      <c r="G161" s="51">
        <v>3200000</v>
      </c>
      <c r="H161" s="50">
        <f>1303449+951.6</f>
        <v>1304400.6</v>
      </c>
      <c r="I161" s="44">
        <f>H161/G161*100</f>
        <v>40.762518750000005</v>
      </c>
    </row>
    <row r="162" spans="1:9" ht="45" customHeight="1">
      <c r="A162" s="1"/>
      <c r="B162" s="20"/>
      <c r="C162" s="47" t="s">
        <v>51</v>
      </c>
      <c r="D162" s="50">
        <f t="shared" si="13"/>
        <v>147000</v>
      </c>
      <c r="E162" s="26"/>
      <c r="F162" s="50">
        <f t="shared" si="14"/>
        <v>147000</v>
      </c>
      <c r="G162" s="50">
        <v>147000</v>
      </c>
      <c r="H162" s="24"/>
      <c r="I162" s="42"/>
    </row>
    <row r="163" spans="1:9" ht="45" customHeight="1">
      <c r="A163" s="1"/>
      <c r="B163" s="20"/>
      <c r="C163" s="47" t="s">
        <v>52</v>
      </c>
      <c r="D163" s="50">
        <f t="shared" si="13"/>
        <v>1036000</v>
      </c>
      <c r="E163" s="26"/>
      <c r="F163" s="50">
        <f t="shared" si="14"/>
        <v>1036000</v>
      </c>
      <c r="G163" s="50">
        <v>1036000</v>
      </c>
      <c r="H163" s="24"/>
      <c r="I163" s="42"/>
    </row>
    <row r="164" spans="1:9" ht="45" customHeight="1">
      <c r="A164" s="1"/>
      <c r="B164" s="20"/>
      <c r="C164" s="47" t="s">
        <v>53</v>
      </c>
      <c r="D164" s="50">
        <f t="shared" si="13"/>
        <v>137000</v>
      </c>
      <c r="E164" s="26"/>
      <c r="F164" s="50">
        <f t="shared" si="14"/>
        <v>137000</v>
      </c>
      <c r="G164" s="50">
        <v>137000</v>
      </c>
      <c r="H164" s="24"/>
      <c r="I164" s="42"/>
    </row>
    <row r="165" spans="1:9" ht="45" customHeight="1">
      <c r="A165" s="1"/>
      <c r="B165" s="20"/>
      <c r="C165" s="47" t="s">
        <v>54</v>
      </c>
      <c r="D165" s="50">
        <f t="shared" si="13"/>
        <v>254000</v>
      </c>
      <c r="E165" s="26"/>
      <c r="F165" s="50">
        <f t="shared" si="14"/>
        <v>254000</v>
      </c>
      <c r="G165" s="50">
        <v>254000</v>
      </c>
      <c r="H165" s="24"/>
      <c r="I165" s="42"/>
    </row>
    <row r="166" spans="1:9" ht="45" customHeight="1">
      <c r="A166" s="1"/>
      <c r="B166" s="20"/>
      <c r="C166" s="47" t="s">
        <v>55</v>
      </c>
      <c r="D166" s="50">
        <f t="shared" si="13"/>
        <v>400000</v>
      </c>
      <c r="E166" s="26"/>
      <c r="F166" s="50">
        <f t="shared" si="14"/>
        <v>400000</v>
      </c>
      <c r="G166" s="50">
        <v>400000</v>
      </c>
      <c r="H166" s="24"/>
      <c r="I166" s="42"/>
    </row>
    <row r="167" spans="1:9" ht="45" customHeight="1">
      <c r="A167" s="1"/>
      <c r="B167" s="20"/>
      <c r="C167" s="49" t="s">
        <v>56</v>
      </c>
      <c r="D167" s="50">
        <f t="shared" si="13"/>
        <v>248000</v>
      </c>
      <c r="E167" s="26"/>
      <c r="F167" s="50">
        <f t="shared" si="14"/>
        <v>248000</v>
      </c>
      <c r="G167" s="52">
        <v>248000</v>
      </c>
      <c r="H167" s="24"/>
      <c r="I167" s="42"/>
    </row>
    <row r="168" spans="1:9" ht="45" customHeight="1">
      <c r="A168" s="1"/>
      <c r="B168" s="20"/>
      <c r="C168" s="47" t="s">
        <v>57</v>
      </c>
      <c r="D168" s="50">
        <f t="shared" si="13"/>
        <v>3300000</v>
      </c>
      <c r="E168" s="26"/>
      <c r="F168" s="50">
        <f t="shared" si="14"/>
        <v>3300000</v>
      </c>
      <c r="G168" s="50">
        <v>3300000</v>
      </c>
      <c r="H168" s="51">
        <f>2455.85+748029.6</f>
        <v>750485.45</v>
      </c>
      <c r="I168" s="44">
        <f>H168/G168*100</f>
        <v>22.741983333333334</v>
      </c>
    </row>
    <row r="169" spans="1:9" ht="45" customHeight="1">
      <c r="A169" s="1"/>
      <c r="B169" s="20"/>
      <c r="C169" s="47" t="s">
        <v>58</v>
      </c>
      <c r="D169" s="50">
        <f t="shared" si="13"/>
        <v>12120000</v>
      </c>
      <c r="E169" s="26"/>
      <c r="F169" s="50">
        <f t="shared" si="14"/>
        <v>12120000</v>
      </c>
      <c r="G169" s="50">
        <v>12120000</v>
      </c>
      <c r="H169" s="51">
        <f>37910.17+6413+179414.38</f>
        <v>223737.55</v>
      </c>
      <c r="I169" s="44">
        <f>H169/G169*100</f>
        <v>1.8460193894389438</v>
      </c>
    </row>
    <row r="170" spans="1:9" ht="45" customHeight="1">
      <c r="A170" s="1"/>
      <c r="B170" s="20"/>
      <c r="C170" s="47" t="s">
        <v>59</v>
      </c>
      <c r="D170" s="50">
        <f t="shared" si="13"/>
        <v>18000000</v>
      </c>
      <c r="E170" s="26"/>
      <c r="F170" s="50">
        <f t="shared" si="14"/>
        <v>18000000</v>
      </c>
      <c r="G170" s="50">
        <v>18000000</v>
      </c>
      <c r="H170" s="51">
        <f>4351772.44+7541+3400000+581526.71</f>
        <v>8340840.15</v>
      </c>
      <c r="I170" s="44">
        <f>H170/G170*100</f>
        <v>46.33800083333334</v>
      </c>
    </row>
    <row r="171" spans="1:9" ht="45" customHeight="1">
      <c r="A171" s="1"/>
      <c r="B171" s="20"/>
      <c r="C171" s="47" t="s">
        <v>60</v>
      </c>
      <c r="D171" s="50">
        <f t="shared" si="13"/>
        <v>8000000</v>
      </c>
      <c r="E171" s="26"/>
      <c r="F171" s="50">
        <f t="shared" si="14"/>
        <v>8000000</v>
      </c>
      <c r="G171" s="50">
        <v>8000000</v>
      </c>
      <c r="H171" s="51">
        <f>3875000+140381</f>
        <v>4015381</v>
      </c>
      <c r="I171" s="44">
        <f>H171/G171*100</f>
        <v>50.1922625</v>
      </c>
    </row>
    <row r="172" spans="1:9" ht="45" customHeight="1">
      <c r="A172" s="1"/>
      <c r="B172" s="20"/>
      <c r="C172" s="47" t="s">
        <v>61</v>
      </c>
      <c r="D172" s="50">
        <f t="shared" si="13"/>
        <v>1000000</v>
      </c>
      <c r="E172" s="26"/>
      <c r="F172" s="50">
        <f t="shared" si="14"/>
        <v>1000000</v>
      </c>
      <c r="G172" s="50">
        <v>1000000</v>
      </c>
      <c r="H172" s="24">
        <f>98383</f>
        <v>98383</v>
      </c>
      <c r="I172" s="44">
        <f>H172/G172*100</f>
        <v>9.8383</v>
      </c>
    </row>
    <row r="173" spans="1:9" ht="24" customHeight="1">
      <c r="A173" s="1"/>
      <c r="B173" s="20"/>
      <c r="C173" s="49" t="s">
        <v>62</v>
      </c>
      <c r="D173" s="50">
        <f t="shared" si="13"/>
        <v>500000</v>
      </c>
      <c r="E173" s="26"/>
      <c r="F173" s="50">
        <f t="shared" si="14"/>
        <v>500000</v>
      </c>
      <c r="G173" s="52">
        <v>500000</v>
      </c>
      <c r="H173" s="24"/>
      <c r="I173" s="42"/>
    </row>
    <row r="174" spans="1:9" ht="24.75" customHeight="1">
      <c r="A174" s="1"/>
      <c r="B174" s="20"/>
      <c r="C174" s="49" t="s">
        <v>63</v>
      </c>
      <c r="D174" s="50">
        <f t="shared" si="13"/>
        <v>1295000</v>
      </c>
      <c r="E174" s="26"/>
      <c r="F174" s="50">
        <f t="shared" si="14"/>
        <v>1295000</v>
      </c>
      <c r="G174" s="52">
        <f>5000000-500000-200000-3005000</f>
        <v>1295000</v>
      </c>
      <c r="H174" s="24"/>
      <c r="I174" s="42"/>
    </row>
    <row r="175" spans="1:9" ht="18.75">
      <c r="A175" s="28"/>
      <c r="B175" s="17"/>
      <c r="C175" s="29" t="s">
        <v>6</v>
      </c>
      <c r="D175" s="19">
        <f>D9+D141</f>
        <v>291280127</v>
      </c>
      <c r="E175" s="19">
        <f>E9+E141</f>
        <v>63519000</v>
      </c>
      <c r="F175" s="19">
        <f>F9+F141</f>
        <v>227761127</v>
      </c>
      <c r="G175" s="19">
        <f>G9+G141</f>
        <v>227761127</v>
      </c>
      <c r="H175" s="19">
        <f>H9+H141</f>
        <v>108140021.32000001</v>
      </c>
      <c r="I175" s="39">
        <f>H175/D175*100</f>
        <v>37.12578075056937</v>
      </c>
    </row>
    <row r="176" spans="1:7" ht="18.75">
      <c r="A176" s="33"/>
      <c r="B176" s="34"/>
      <c r="C176" s="35"/>
      <c r="D176" s="36"/>
      <c r="E176" s="36"/>
      <c r="F176" s="36"/>
      <c r="G176" s="36"/>
    </row>
    <row r="177" spans="1:6" ht="18.75">
      <c r="A177" s="2"/>
      <c r="B177" s="30"/>
      <c r="C177" s="31"/>
      <c r="D177" s="3"/>
      <c r="E177" s="30"/>
      <c r="F177" s="30"/>
    </row>
  </sheetData>
  <sheetProtection/>
  <mergeCells count="11">
    <mergeCell ref="A140:I140"/>
    <mergeCell ref="A8:I8"/>
    <mergeCell ref="H5:H6"/>
    <mergeCell ref="I5:I6"/>
    <mergeCell ref="A2:G2"/>
    <mergeCell ref="A3:G3"/>
    <mergeCell ref="A5:A6"/>
    <mergeCell ref="C5:C6"/>
    <mergeCell ref="D5:D6"/>
    <mergeCell ref="E5:E6"/>
    <mergeCell ref="F5:F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2017-02-07T07:44:25Z</cp:lastPrinted>
  <dcterms:created xsi:type="dcterms:W3CDTF">2014-01-17T10:52:16Z</dcterms:created>
  <dcterms:modified xsi:type="dcterms:W3CDTF">2017-07-10T15:14:10Z</dcterms:modified>
  <cp:category/>
  <cp:version/>
  <cp:contentType/>
  <cp:contentStatus/>
</cp:coreProperties>
</file>